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Martina Čajková\Desktop\VZ\Stavební úpravy Slezská\"/>
    </mc:Choice>
  </mc:AlternateContent>
  <xr:revisionPtr revIDLastSave="0" documentId="8_{9DE7B344-72CB-4E35-823F-0313E5D53474}" xr6:coauthVersionLast="47" xr6:coauthVersionMax="47" xr10:uidLastSave="{00000000-0000-0000-0000-000000000000}"/>
  <bookViews>
    <workbookView xWindow="-120" yWindow="-120" windowWidth="29040" windowHeight="15840"/>
  </bookViews>
  <sheets>
    <sheet name="Krycí list rozpočtu" sheetId="1" r:id="rId1"/>
    <sheet name="Rozpočet - objekty" sheetId="2" r:id="rId2"/>
    <sheet name="Rozpočet - podskupiny" sheetId="3" r:id="rId3"/>
    <sheet name="Stavební rozpoče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F2" i="1"/>
  <c r="C4" i="1"/>
  <c r="F4" i="1"/>
  <c r="C6" i="1"/>
  <c r="F6" i="1"/>
  <c r="C8" i="1"/>
  <c r="F8" i="1"/>
  <c r="C10" i="1"/>
  <c r="F10" i="1"/>
  <c r="I10" i="1"/>
  <c r="F22" i="1"/>
  <c r="I22" i="1"/>
  <c r="D2" i="2"/>
  <c r="H2" i="2"/>
  <c r="J2" i="2"/>
  <c r="D4" i="2"/>
  <c r="H4" i="2"/>
  <c r="J4" i="2"/>
  <c r="D6" i="2"/>
  <c r="H6" i="2"/>
  <c r="J6" i="2"/>
  <c r="D8" i="2"/>
  <c r="H8" i="2"/>
  <c r="J8" i="2"/>
  <c r="L12" i="2"/>
  <c r="N12" i="2"/>
  <c r="I13" i="2"/>
  <c r="J13" i="2"/>
  <c r="K13" i="2"/>
  <c r="L13" i="2"/>
  <c r="N13" i="2"/>
  <c r="P13" i="2"/>
  <c r="I14" i="2"/>
  <c r="J14" i="2"/>
  <c r="K14" i="2"/>
  <c r="L14" i="2"/>
  <c r="N14" i="2"/>
  <c r="P14" i="2"/>
  <c r="I15" i="2"/>
  <c r="J15" i="2"/>
  <c r="K15" i="2"/>
  <c r="L15" i="2"/>
  <c r="N15" i="2"/>
  <c r="P15" i="2"/>
  <c r="I16" i="2"/>
  <c r="J16" i="2"/>
  <c r="K16" i="2"/>
  <c r="L16" i="2"/>
  <c r="N16" i="2"/>
  <c r="P16" i="2"/>
  <c r="I17" i="2"/>
  <c r="J17" i="2"/>
  <c r="K17" i="2"/>
  <c r="L17" i="2"/>
  <c r="N17" i="2"/>
  <c r="P17" i="2"/>
  <c r="D2" i="3"/>
  <c r="H2" i="3"/>
  <c r="J2" i="3"/>
  <c r="D4" i="3"/>
  <c r="H4" i="3"/>
  <c r="J4" i="3"/>
  <c r="D6" i="3"/>
  <c r="H6" i="3"/>
  <c r="J6" i="3"/>
  <c r="D8" i="3"/>
  <c r="H8" i="3"/>
  <c r="J8" i="3"/>
  <c r="L12" i="3"/>
  <c r="N12" i="3"/>
  <c r="K64" i="3"/>
  <c r="L13" i="3"/>
  <c r="P13" i="3"/>
  <c r="I14" i="3"/>
  <c r="J14" i="3"/>
  <c r="K14" i="3"/>
  <c r="L14" i="3"/>
  <c r="N14" i="3"/>
  <c r="P14" i="3"/>
  <c r="I15" i="3"/>
  <c r="J15" i="3"/>
  <c r="K15" i="3"/>
  <c r="L15" i="3"/>
  <c r="N15" i="3"/>
  <c r="P15" i="3"/>
  <c r="I16" i="3"/>
  <c r="J16" i="3"/>
  <c r="K16" i="3"/>
  <c r="L16" i="3"/>
  <c r="N16" i="3"/>
  <c r="P16" i="3"/>
  <c r="I17" i="3"/>
  <c r="J17" i="3"/>
  <c r="K17" i="3"/>
  <c r="L17" i="3"/>
  <c r="N17" i="3"/>
  <c r="P17" i="3"/>
  <c r="I18" i="3"/>
  <c r="J18" i="3"/>
  <c r="K18" i="3"/>
  <c r="L18" i="3"/>
  <c r="N18" i="3"/>
  <c r="P18" i="3"/>
  <c r="I19" i="3"/>
  <c r="J19" i="3"/>
  <c r="K19" i="3"/>
  <c r="L19" i="3"/>
  <c r="N19" i="3"/>
  <c r="P19" i="3"/>
  <c r="I20" i="3"/>
  <c r="J20" i="3"/>
  <c r="K20" i="3"/>
  <c r="L20" i="3"/>
  <c r="N20" i="3"/>
  <c r="P20" i="3"/>
  <c r="I21" i="3"/>
  <c r="J21" i="3"/>
  <c r="K21" i="3"/>
  <c r="L21" i="3"/>
  <c r="N21" i="3"/>
  <c r="P21" i="3"/>
  <c r="I22" i="3"/>
  <c r="J22" i="3"/>
  <c r="K22" i="3"/>
  <c r="L22" i="3"/>
  <c r="N22" i="3"/>
  <c r="P22" i="3"/>
  <c r="I23" i="3"/>
  <c r="J23" i="3"/>
  <c r="K23" i="3"/>
  <c r="L23" i="3"/>
  <c r="N23" i="3"/>
  <c r="P23" i="3"/>
  <c r="I24" i="3"/>
  <c r="J24" i="3"/>
  <c r="K24" i="3"/>
  <c r="L24" i="3"/>
  <c r="N24" i="3"/>
  <c r="P24" i="3"/>
  <c r="I25" i="3"/>
  <c r="J25" i="3"/>
  <c r="K25" i="3"/>
  <c r="L25" i="3"/>
  <c r="N25" i="3"/>
  <c r="P25" i="3"/>
  <c r="I26" i="3"/>
  <c r="J26" i="3"/>
  <c r="K26" i="3"/>
  <c r="L26" i="3"/>
  <c r="N26" i="3"/>
  <c r="P26" i="3"/>
  <c r="I27" i="3"/>
  <c r="J27" i="3"/>
  <c r="K27" i="3"/>
  <c r="L27" i="3"/>
  <c r="N27" i="3"/>
  <c r="P27" i="3"/>
  <c r="I28" i="3"/>
  <c r="J28" i="3"/>
  <c r="K28" i="3"/>
  <c r="L28" i="3"/>
  <c r="N28" i="3"/>
  <c r="P28" i="3"/>
  <c r="I29" i="3"/>
  <c r="J29" i="3"/>
  <c r="K29" i="3"/>
  <c r="L29" i="3"/>
  <c r="N29" i="3"/>
  <c r="P29" i="3"/>
  <c r="I30" i="3"/>
  <c r="J30" i="3"/>
  <c r="K30" i="3"/>
  <c r="L30" i="3"/>
  <c r="N30" i="3"/>
  <c r="P30" i="3"/>
  <c r="I31" i="3"/>
  <c r="J31" i="3"/>
  <c r="K31" i="3"/>
  <c r="L31" i="3"/>
  <c r="N31" i="3"/>
  <c r="P31" i="3"/>
  <c r="I32" i="3"/>
  <c r="J32" i="3"/>
  <c r="K32" i="3"/>
  <c r="L32" i="3"/>
  <c r="N32" i="3"/>
  <c r="P32" i="3"/>
  <c r="I33" i="3"/>
  <c r="J33" i="3"/>
  <c r="K33" i="3"/>
  <c r="L33" i="3"/>
  <c r="N33" i="3"/>
  <c r="P33" i="3"/>
  <c r="I34" i="3"/>
  <c r="J34" i="3"/>
  <c r="K34" i="3"/>
  <c r="L34" i="3"/>
  <c r="N34" i="3"/>
  <c r="P34" i="3"/>
  <c r="I35" i="3"/>
  <c r="J35" i="3"/>
  <c r="K35" i="3"/>
  <c r="L35" i="3"/>
  <c r="N35" i="3"/>
  <c r="P35" i="3"/>
  <c r="I36" i="3"/>
  <c r="J36" i="3"/>
  <c r="K36" i="3"/>
  <c r="L36" i="3"/>
  <c r="N36" i="3"/>
  <c r="P36" i="3"/>
  <c r="I37" i="3"/>
  <c r="J37" i="3"/>
  <c r="K37" i="3"/>
  <c r="L37" i="3"/>
  <c r="N37" i="3"/>
  <c r="P37" i="3"/>
  <c r="I38" i="3"/>
  <c r="J38" i="3"/>
  <c r="K38" i="3"/>
  <c r="L38" i="3"/>
  <c r="N38" i="3"/>
  <c r="P38" i="3"/>
  <c r="I39" i="3"/>
  <c r="J39" i="3"/>
  <c r="K39" i="3"/>
  <c r="L39" i="3"/>
  <c r="N39" i="3"/>
  <c r="P39" i="3"/>
  <c r="I40" i="3"/>
  <c r="J40" i="3"/>
  <c r="K40" i="3"/>
  <c r="L40" i="3"/>
  <c r="N40" i="3"/>
  <c r="P40" i="3"/>
  <c r="I41" i="3"/>
  <c r="J41" i="3"/>
  <c r="K41" i="3"/>
  <c r="L41" i="3"/>
  <c r="N41" i="3"/>
  <c r="P41" i="3"/>
  <c r="I42" i="3"/>
  <c r="J42" i="3"/>
  <c r="K42" i="3"/>
  <c r="L42" i="3"/>
  <c r="N42" i="3"/>
  <c r="P42" i="3"/>
  <c r="I43" i="3"/>
  <c r="J43" i="3"/>
  <c r="K43" i="3"/>
  <c r="L43" i="3"/>
  <c r="N43" i="3"/>
  <c r="P43" i="3"/>
  <c r="I44" i="3"/>
  <c r="J44" i="3"/>
  <c r="K44" i="3"/>
  <c r="L44" i="3"/>
  <c r="N44" i="3"/>
  <c r="P44" i="3"/>
  <c r="I45" i="3"/>
  <c r="J45" i="3"/>
  <c r="K45" i="3"/>
  <c r="L45" i="3"/>
  <c r="N45" i="3"/>
  <c r="P45" i="3"/>
  <c r="I46" i="3"/>
  <c r="J46" i="3"/>
  <c r="K46" i="3"/>
  <c r="L46" i="3"/>
  <c r="N46" i="3"/>
  <c r="P46" i="3"/>
  <c r="I47" i="3"/>
  <c r="J47" i="3"/>
  <c r="K47" i="3"/>
  <c r="L47" i="3"/>
  <c r="N47" i="3"/>
  <c r="P47" i="3"/>
  <c r="I48" i="3"/>
  <c r="J48" i="3"/>
  <c r="K48" i="3"/>
  <c r="L48" i="3"/>
  <c r="N48" i="3"/>
  <c r="P48" i="3"/>
  <c r="I49" i="3"/>
  <c r="J49" i="3"/>
  <c r="K49" i="3"/>
  <c r="L49" i="3"/>
  <c r="N49" i="3"/>
  <c r="P49" i="3"/>
  <c r="I50" i="3"/>
  <c r="J50" i="3"/>
  <c r="K50" i="3"/>
  <c r="L50" i="3"/>
  <c r="N50" i="3"/>
  <c r="P50" i="3"/>
  <c r="I51" i="3"/>
  <c r="J51" i="3"/>
  <c r="K51" i="3"/>
  <c r="L51" i="3"/>
  <c r="N51" i="3"/>
  <c r="P51" i="3"/>
  <c r="I52" i="3"/>
  <c r="J52" i="3"/>
  <c r="K52" i="3"/>
  <c r="L52" i="3"/>
  <c r="N52" i="3"/>
  <c r="P52" i="3"/>
  <c r="I53" i="3"/>
  <c r="J53" i="3"/>
  <c r="K53" i="3"/>
  <c r="L53" i="3"/>
  <c r="N53" i="3"/>
  <c r="P53" i="3"/>
  <c r="I54" i="3"/>
  <c r="J54" i="3"/>
  <c r="K54" i="3"/>
  <c r="L54" i="3"/>
  <c r="N54" i="3"/>
  <c r="P54" i="3"/>
  <c r="I55" i="3"/>
  <c r="J55" i="3"/>
  <c r="K55" i="3"/>
  <c r="L55" i="3"/>
  <c r="N55" i="3"/>
  <c r="P55" i="3"/>
  <c r="I56" i="3"/>
  <c r="J56" i="3"/>
  <c r="K56" i="3"/>
  <c r="L56" i="3"/>
  <c r="N56" i="3"/>
  <c r="P56" i="3"/>
  <c r="I57" i="3"/>
  <c r="J57" i="3"/>
  <c r="K57" i="3"/>
  <c r="L57" i="3"/>
  <c r="N57" i="3"/>
  <c r="P57" i="3"/>
  <c r="I58" i="3"/>
  <c r="J58" i="3"/>
  <c r="K58" i="3"/>
  <c r="L58" i="3"/>
  <c r="N58" i="3"/>
  <c r="P58" i="3"/>
  <c r="I59" i="3"/>
  <c r="J59" i="3"/>
  <c r="K59" i="3"/>
  <c r="L59" i="3"/>
  <c r="N59" i="3"/>
  <c r="P59" i="3"/>
  <c r="I60" i="3"/>
  <c r="J60" i="3"/>
  <c r="K60" i="3"/>
  <c r="L60" i="3"/>
  <c r="N60" i="3"/>
  <c r="P60" i="3"/>
  <c r="I61" i="3"/>
  <c r="J61" i="3"/>
  <c r="K61" i="3"/>
  <c r="L61" i="3"/>
  <c r="N61" i="3"/>
  <c r="P61" i="3"/>
  <c r="I62" i="3"/>
  <c r="J62" i="3"/>
  <c r="K62" i="3"/>
  <c r="L62" i="3"/>
  <c r="N62" i="3"/>
  <c r="P62" i="3"/>
  <c r="I63" i="3"/>
  <c r="J63" i="3"/>
  <c r="K63" i="3"/>
  <c r="L63" i="3"/>
  <c r="N63" i="3"/>
  <c r="P63" i="3"/>
  <c r="L12" i="4"/>
  <c r="K13" i="4"/>
  <c r="K13" i="3"/>
  <c r="N13" i="3"/>
  <c r="L13" i="4"/>
  <c r="K14" i="4"/>
  <c r="L14" i="4"/>
  <c r="Z14" i="4"/>
  <c r="C21" i="1"/>
  <c r="AD14" i="4"/>
  <c r="C16" i="1"/>
  <c r="AE14" i="4"/>
  <c r="C17" i="1"/>
  <c r="AF14" i="4"/>
  <c r="C18" i="1"/>
  <c r="AG14" i="4"/>
  <c r="C19" i="1"/>
  <c r="AH14" i="4"/>
  <c r="C20" i="1"/>
  <c r="AJ14" i="4"/>
  <c r="C26" i="1"/>
  <c r="AK14" i="4"/>
  <c r="AT13" i="4"/>
  <c r="AL14" i="4"/>
  <c r="C28" i="1"/>
  <c r="F28" i="1"/>
  <c r="AO14" i="4"/>
  <c r="BH14" i="4"/>
  <c r="AB14" i="4"/>
  <c r="C14" i="1"/>
  <c r="AP14" i="4"/>
  <c r="BI14" i="4"/>
  <c r="AC14" i="4"/>
  <c r="C15" i="1"/>
  <c r="AX14" i="4"/>
  <c r="BD14" i="4"/>
  <c r="BF14" i="4"/>
  <c r="BJ14" i="4"/>
  <c r="I16" i="4"/>
  <c r="J16" i="4"/>
  <c r="K16" i="4"/>
  <c r="L16" i="4"/>
  <c r="Z16" i="4"/>
  <c r="AB16" i="4"/>
  <c r="AC16" i="4"/>
  <c r="AD16" i="4"/>
  <c r="AE16" i="4"/>
  <c r="AF16" i="4"/>
  <c r="AG16" i="4"/>
  <c r="AH16" i="4"/>
  <c r="AJ16" i="4"/>
  <c r="AK16" i="4"/>
  <c r="AL16" i="4"/>
  <c r="AO16" i="4"/>
  <c r="AP16" i="4"/>
  <c r="AV16" i="4"/>
  <c r="AW16" i="4"/>
  <c r="AX16" i="4"/>
  <c r="BC16" i="4"/>
  <c r="BD16" i="4"/>
  <c r="BF16" i="4"/>
  <c r="BH16" i="4"/>
  <c r="BI16" i="4"/>
  <c r="BJ16" i="4"/>
  <c r="I19" i="4"/>
  <c r="J19" i="4"/>
  <c r="K19" i="4"/>
  <c r="L19" i="4"/>
  <c r="Z19" i="4"/>
  <c r="AB19" i="4"/>
  <c r="AC19" i="4"/>
  <c r="AD19" i="4"/>
  <c r="AE19" i="4"/>
  <c r="AF19" i="4"/>
  <c r="AG19" i="4"/>
  <c r="AH19" i="4"/>
  <c r="AJ19" i="4"/>
  <c r="AK19" i="4"/>
  <c r="AL19" i="4"/>
  <c r="AO19" i="4"/>
  <c r="AP19" i="4"/>
  <c r="AV19" i="4"/>
  <c r="AW19" i="4"/>
  <c r="AX19" i="4"/>
  <c r="BC19" i="4"/>
  <c r="BD19" i="4"/>
  <c r="BF19" i="4"/>
  <c r="BH19" i="4"/>
  <c r="BI19" i="4"/>
  <c r="BJ19" i="4"/>
  <c r="I23" i="4"/>
  <c r="J23" i="4"/>
  <c r="K23" i="4"/>
  <c r="L23" i="4"/>
  <c r="Z23" i="4"/>
  <c r="AB23" i="4"/>
  <c r="AC23" i="4"/>
  <c r="AD23" i="4"/>
  <c r="AE23" i="4"/>
  <c r="AF23" i="4"/>
  <c r="AG23" i="4"/>
  <c r="AH23" i="4"/>
  <c r="AJ23" i="4"/>
  <c r="AK23" i="4"/>
  <c r="AL23" i="4"/>
  <c r="AO23" i="4"/>
  <c r="AP23" i="4"/>
  <c r="AV23" i="4"/>
  <c r="AW23" i="4"/>
  <c r="AX23" i="4"/>
  <c r="BC23" i="4"/>
  <c r="BD23" i="4"/>
  <c r="BF23" i="4"/>
  <c r="BH23" i="4"/>
  <c r="BI23" i="4"/>
  <c r="BJ23" i="4"/>
  <c r="I25" i="4"/>
  <c r="J25" i="4"/>
  <c r="K25" i="4"/>
  <c r="L25" i="4"/>
  <c r="Z25" i="4"/>
  <c r="AB25" i="4"/>
  <c r="AC25" i="4"/>
  <c r="AD25" i="4"/>
  <c r="AE25" i="4"/>
  <c r="AF25" i="4"/>
  <c r="AG25" i="4"/>
  <c r="AH25" i="4"/>
  <c r="AJ25" i="4"/>
  <c r="AK25" i="4"/>
  <c r="AL25" i="4"/>
  <c r="AO25" i="4"/>
  <c r="AP25" i="4"/>
  <c r="AV25" i="4"/>
  <c r="AW25" i="4"/>
  <c r="AX25" i="4"/>
  <c r="BC25" i="4"/>
  <c r="BD25" i="4"/>
  <c r="BF25" i="4"/>
  <c r="BH25" i="4"/>
  <c r="BI25" i="4"/>
  <c r="BJ25" i="4"/>
  <c r="I28" i="4"/>
  <c r="J28" i="4"/>
  <c r="K28" i="4"/>
  <c r="L28" i="4"/>
  <c r="AS28" i="4"/>
  <c r="AT28" i="4"/>
  <c r="AU28" i="4"/>
  <c r="I29" i="4"/>
  <c r="J29" i="4"/>
  <c r="K29" i="4"/>
  <c r="L29" i="4"/>
  <c r="Z29" i="4"/>
  <c r="AB29" i="4"/>
  <c r="AC29" i="4"/>
  <c r="AD29" i="4"/>
  <c r="AE29" i="4"/>
  <c r="AF29" i="4"/>
  <c r="AG29" i="4"/>
  <c r="AH29" i="4"/>
  <c r="AJ29" i="4"/>
  <c r="AK29" i="4"/>
  <c r="AL29" i="4"/>
  <c r="AO29" i="4"/>
  <c r="AP29" i="4"/>
  <c r="AV29" i="4"/>
  <c r="AW29" i="4"/>
  <c r="AX29" i="4"/>
  <c r="BC29" i="4"/>
  <c r="BD29" i="4"/>
  <c r="BF29" i="4"/>
  <c r="BH29" i="4"/>
  <c r="BI29" i="4"/>
  <c r="BJ29" i="4"/>
  <c r="I35" i="4"/>
  <c r="J35" i="4"/>
  <c r="K35" i="4"/>
  <c r="L35" i="4"/>
  <c r="Z35" i="4"/>
  <c r="AB35" i="4"/>
  <c r="AC35" i="4"/>
  <c r="AD35" i="4"/>
  <c r="AE35" i="4"/>
  <c r="AF35" i="4"/>
  <c r="AG35" i="4"/>
  <c r="AH35" i="4"/>
  <c r="AJ35" i="4"/>
  <c r="AK35" i="4"/>
  <c r="AL35" i="4"/>
  <c r="AO35" i="4"/>
  <c r="AP35" i="4"/>
  <c r="AV35" i="4"/>
  <c r="AW35" i="4"/>
  <c r="AX35" i="4"/>
  <c r="BC35" i="4"/>
  <c r="BD35" i="4"/>
  <c r="BF35" i="4"/>
  <c r="BH35" i="4"/>
  <c r="BI35" i="4"/>
  <c r="BJ35" i="4"/>
  <c r="I40" i="4"/>
  <c r="J40" i="4"/>
  <c r="K40" i="4"/>
  <c r="L40" i="4"/>
  <c r="Z40" i="4"/>
  <c r="AB40" i="4"/>
  <c r="AC40" i="4"/>
  <c r="AD40" i="4"/>
  <c r="AE40" i="4"/>
  <c r="AF40" i="4"/>
  <c r="AG40" i="4"/>
  <c r="AH40" i="4"/>
  <c r="AJ40" i="4"/>
  <c r="AK40" i="4"/>
  <c r="AL40" i="4"/>
  <c r="AO40" i="4"/>
  <c r="AP40" i="4"/>
  <c r="AV40" i="4"/>
  <c r="AW40" i="4"/>
  <c r="AX40" i="4"/>
  <c r="BC40" i="4"/>
  <c r="BD40" i="4"/>
  <c r="BF40" i="4"/>
  <c r="BH40" i="4"/>
  <c r="BI40" i="4"/>
  <c r="BJ40" i="4"/>
  <c r="I43" i="4"/>
  <c r="J43" i="4"/>
  <c r="K43" i="4"/>
  <c r="L43" i="4"/>
  <c r="Z43" i="4"/>
  <c r="AB43" i="4"/>
  <c r="AC43" i="4"/>
  <c r="AD43" i="4"/>
  <c r="AE43" i="4"/>
  <c r="AF43" i="4"/>
  <c r="AG43" i="4"/>
  <c r="AH43" i="4"/>
  <c r="AJ43" i="4"/>
  <c r="AK43" i="4"/>
  <c r="AL43" i="4"/>
  <c r="AO43" i="4"/>
  <c r="AP43" i="4"/>
  <c r="AV43" i="4"/>
  <c r="AW43" i="4"/>
  <c r="AX43" i="4"/>
  <c r="BC43" i="4"/>
  <c r="BD43" i="4"/>
  <c r="BF43" i="4"/>
  <c r="BH43" i="4"/>
  <c r="BI43" i="4"/>
  <c r="BJ43" i="4"/>
  <c r="I46" i="4"/>
  <c r="J46" i="4"/>
  <c r="K46" i="4"/>
  <c r="L46" i="4"/>
  <c r="Z46" i="4"/>
  <c r="AB46" i="4"/>
  <c r="AC46" i="4"/>
  <c r="AD46" i="4"/>
  <c r="AE46" i="4"/>
  <c r="AF46" i="4"/>
  <c r="AG46" i="4"/>
  <c r="AH46" i="4"/>
  <c r="AJ46" i="4"/>
  <c r="AK46" i="4"/>
  <c r="AL46" i="4"/>
  <c r="AO46" i="4"/>
  <c r="AP46" i="4"/>
  <c r="AV46" i="4"/>
  <c r="AW46" i="4"/>
  <c r="AX46" i="4"/>
  <c r="BC46" i="4"/>
  <c r="BD46" i="4"/>
  <c r="BF46" i="4"/>
  <c r="BH46" i="4"/>
  <c r="BI46" i="4"/>
  <c r="BJ46" i="4"/>
  <c r="I49" i="4"/>
  <c r="J49" i="4"/>
  <c r="K49" i="4"/>
  <c r="L49" i="4"/>
  <c r="Z49" i="4"/>
  <c r="AB49" i="4"/>
  <c r="AC49" i="4"/>
  <c r="AD49" i="4"/>
  <c r="AE49" i="4"/>
  <c r="AF49" i="4"/>
  <c r="AG49" i="4"/>
  <c r="AH49" i="4"/>
  <c r="AJ49" i="4"/>
  <c r="AK49" i="4"/>
  <c r="AL49" i="4"/>
  <c r="AO49" i="4"/>
  <c r="AP49" i="4"/>
  <c r="AV49" i="4"/>
  <c r="AW49" i="4"/>
  <c r="AX49" i="4"/>
  <c r="BC49" i="4"/>
  <c r="BD49" i="4"/>
  <c r="BF49" i="4"/>
  <c r="BH49" i="4"/>
  <c r="BI49" i="4"/>
  <c r="BJ49" i="4"/>
  <c r="I52" i="4"/>
  <c r="J52" i="4"/>
  <c r="K52" i="4"/>
  <c r="L52" i="4"/>
  <c r="Z52" i="4"/>
  <c r="AB52" i="4"/>
  <c r="AC52" i="4"/>
  <c r="AD52" i="4"/>
  <c r="AE52" i="4"/>
  <c r="AF52" i="4"/>
  <c r="AG52" i="4"/>
  <c r="AH52" i="4"/>
  <c r="AJ52" i="4"/>
  <c r="AK52" i="4"/>
  <c r="AL52" i="4"/>
  <c r="AO52" i="4"/>
  <c r="AP52" i="4"/>
  <c r="AV52" i="4"/>
  <c r="AW52" i="4"/>
  <c r="AX52" i="4"/>
  <c r="BC52" i="4"/>
  <c r="BD52" i="4"/>
  <c r="BF52" i="4"/>
  <c r="BH52" i="4"/>
  <c r="BI52" i="4"/>
  <c r="BJ52" i="4"/>
  <c r="I55" i="4"/>
  <c r="J55" i="4"/>
  <c r="K55" i="4"/>
  <c r="L55" i="4"/>
  <c r="AS55" i="4"/>
  <c r="AT55" i="4"/>
  <c r="AU55" i="4"/>
  <c r="I56" i="4"/>
  <c r="J56" i="4"/>
  <c r="K56" i="4"/>
  <c r="L56" i="4"/>
  <c r="Z56" i="4"/>
  <c r="AB56" i="4"/>
  <c r="AC56" i="4"/>
  <c r="AD56" i="4"/>
  <c r="AE56" i="4"/>
  <c r="AF56" i="4"/>
  <c r="AG56" i="4"/>
  <c r="AH56" i="4"/>
  <c r="AJ56" i="4"/>
  <c r="AK56" i="4"/>
  <c r="AL56" i="4"/>
  <c r="AO56" i="4"/>
  <c r="AP56" i="4"/>
  <c r="AV56" i="4"/>
  <c r="AW56" i="4"/>
  <c r="AX56" i="4"/>
  <c r="BC56" i="4"/>
  <c r="BD56" i="4"/>
  <c r="BF56" i="4"/>
  <c r="BH56" i="4"/>
  <c r="BI56" i="4"/>
  <c r="BJ56" i="4"/>
  <c r="I59" i="4"/>
  <c r="J59" i="4"/>
  <c r="K59" i="4"/>
  <c r="L59" i="4"/>
  <c r="Z59" i="4"/>
  <c r="AB59" i="4"/>
  <c r="AC59" i="4"/>
  <c r="AD59" i="4"/>
  <c r="AE59" i="4"/>
  <c r="AF59" i="4"/>
  <c r="AG59" i="4"/>
  <c r="AH59" i="4"/>
  <c r="AJ59" i="4"/>
  <c r="AK59" i="4"/>
  <c r="AL59" i="4"/>
  <c r="AO59" i="4"/>
  <c r="AP59" i="4"/>
  <c r="AV59" i="4"/>
  <c r="AW59" i="4"/>
  <c r="AX59" i="4"/>
  <c r="BC59" i="4"/>
  <c r="BD59" i="4"/>
  <c r="BF59" i="4"/>
  <c r="BH59" i="4"/>
  <c r="BI59" i="4"/>
  <c r="BJ59" i="4"/>
  <c r="I63" i="4"/>
  <c r="J63" i="4"/>
  <c r="K63" i="4"/>
  <c r="L63" i="4"/>
  <c r="Z63" i="4"/>
  <c r="AB63" i="4"/>
  <c r="AC63" i="4"/>
  <c r="AD63" i="4"/>
  <c r="AE63" i="4"/>
  <c r="AF63" i="4"/>
  <c r="AG63" i="4"/>
  <c r="AH63" i="4"/>
  <c r="AJ63" i="4"/>
  <c r="AK63" i="4"/>
  <c r="AL63" i="4"/>
  <c r="AO63" i="4"/>
  <c r="AP63" i="4"/>
  <c r="AV63" i="4"/>
  <c r="AW63" i="4"/>
  <c r="AX63" i="4"/>
  <c r="BC63" i="4"/>
  <c r="BD63" i="4"/>
  <c r="BF63" i="4"/>
  <c r="BH63" i="4"/>
  <c r="BI63" i="4"/>
  <c r="BJ63" i="4"/>
  <c r="I69" i="4"/>
  <c r="J69" i="4"/>
  <c r="K69" i="4"/>
  <c r="L69" i="4"/>
  <c r="Z69" i="4"/>
  <c r="AB69" i="4"/>
  <c r="AC69" i="4"/>
  <c r="AD69" i="4"/>
  <c r="AE69" i="4"/>
  <c r="AF69" i="4"/>
  <c r="AG69" i="4"/>
  <c r="AH69" i="4"/>
  <c r="AJ69" i="4"/>
  <c r="AK69" i="4"/>
  <c r="AL69" i="4"/>
  <c r="AO69" i="4"/>
  <c r="AP69" i="4"/>
  <c r="AV69" i="4"/>
  <c r="AW69" i="4"/>
  <c r="AX69" i="4"/>
  <c r="BC69" i="4"/>
  <c r="BD69" i="4"/>
  <c r="BF69" i="4"/>
  <c r="BH69" i="4"/>
  <c r="BI69" i="4"/>
  <c r="BJ69" i="4"/>
  <c r="I71" i="4"/>
  <c r="J71" i="4"/>
  <c r="K71" i="4"/>
  <c r="L71" i="4"/>
  <c r="Z71" i="4"/>
  <c r="AB71" i="4"/>
  <c r="AC71" i="4"/>
  <c r="AD71" i="4"/>
  <c r="AE71" i="4"/>
  <c r="AF71" i="4"/>
  <c r="AG71" i="4"/>
  <c r="AH71" i="4"/>
  <c r="AJ71" i="4"/>
  <c r="AK71" i="4"/>
  <c r="AL71" i="4"/>
  <c r="AO71" i="4"/>
  <c r="AP71" i="4"/>
  <c r="AV71" i="4"/>
  <c r="AW71" i="4"/>
  <c r="AX71" i="4"/>
  <c r="BC71" i="4"/>
  <c r="BD71" i="4"/>
  <c r="BF71" i="4"/>
  <c r="BH71" i="4"/>
  <c r="BI71" i="4"/>
  <c r="BJ71" i="4"/>
  <c r="I78" i="4"/>
  <c r="J78" i="4"/>
  <c r="K78" i="4"/>
  <c r="L78" i="4"/>
  <c r="Z78" i="4"/>
  <c r="AB78" i="4"/>
  <c r="AC78" i="4"/>
  <c r="AD78" i="4"/>
  <c r="AE78" i="4"/>
  <c r="AF78" i="4"/>
  <c r="AG78" i="4"/>
  <c r="AH78" i="4"/>
  <c r="AJ78" i="4"/>
  <c r="AK78" i="4"/>
  <c r="AL78" i="4"/>
  <c r="AO78" i="4"/>
  <c r="AP78" i="4"/>
  <c r="AV78" i="4"/>
  <c r="AW78" i="4"/>
  <c r="AX78" i="4"/>
  <c r="BC78" i="4"/>
  <c r="BD78" i="4"/>
  <c r="BF78" i="4"/>
  <c r="BH78" i="4"/>
  <c r="BI78" i="4"/>
  <c r="BJ78" i="4"/>
  <c r="I82" i="4"/>
  <c r="J82" i="4"/>
  <c r="K82" i="4"/>
  <c r="L82" i="4"/>
  <c r="Z82" i="4"/>
  <c r="AB82" i="4"/>
  <c r="AC82" i="4"/>
  <c r="AD82" i="4"/>
  <c r="AE82" i="4"/>
  <c r="AF82" i="4"/>
  <c r="AG82" i="4"/>
  <c r="AH82" i="4"/>
  <c r="AJ82" i="4"/>
  <c r="AK82" i="4"/>
  <c r="AL82" i="4"/>
  <c r="AO82" i="4"/>
  <c r="AP82" i="4"/>
  <c r="AV82" i="4"/>
  <c r="AW82" i="4"/>
  <c r="AX82" i="4"/>
  <c r="BC82" i="4"/>
  <c r="BD82" i="4"/>
  <c r="BF82" i="4"/>
  <c r="BH82" i="4"/>
  <c r="BI82" i="4"/>
  <c r="BJ82" i="4"/>
  <c r="I85" i="4"/>
  <c r="J85" i="4"/>
  <c r="K85" i="4"/>
  <c r="L85" i="4"/>
  <c r="Z85" i="4"/>
  <c r="AB85" i="4"/>
  <c r="AC85" i="4"/>
  <c r="AD85" i="4"/>
  <c r="AE85" i="4"/>
  <c r="AF85" i="4"/>
  <c r="AG85" i="4"/>
  <c r="AH85" i="4"/>
  <c r="AJ85" i="4"/>
  <c r="AK85" i="4"/>
  <c r="AL85" i="4"/>
  <c r="AO85" i="4"/>
  <c r="AP85" i="4"/>
  <c r="AV85" i="4"/>
  <c r="AW85" i="4"/>
  <c r="AX85" i="4"/>
  <c r="BC85" i="4"/>
  <c r="BD85" i="4"/>
  <c r="BF85" i="4"/>
  <c r="BH85" i="4"/>
  <c r="BI85" i="4"/>
  <c r="BJ85" i="4"/>
  <c r="I88" i="4"/>
  <c r="J88" i="4"/>
  <c r="K88" i="4"/>
  <c r="L88" i="4"/>
  <c r="Z88" i="4"/>
  <c r="AB88" i="4"/>
  <c r="AC88" i="4"/>
  <c r="AD88" i="4"/>
  <c r="AE88" i="4"/>
  <c r="AF88" i="4"/>
  <c r="AG88" i="4"/>
  <c r="AH88" i="4"/>
  <c r="AJ88" i="4"/>
  <c r="AK88" i="4"/>
  <c r="AL88" i="4"/>
  <c r="AO88" i="4"/>
  <c r="AP88" i="4"/>
  <c r="AV88" i="4"/>
  <c r="AW88" i="4"/>
  <c r="AX88" i="4"/>
  <c r="BC88" i="4"/>
  <c r="BD88" i="4"/>
  <c r="BF88" i="4"/>
  <c r="BH88" i="4"/>
  <c r="BI88" i="4"/>
  <c r="BJ88" i="4"/>
  <c r="I90" i="4"/>
  <c r="J90" i="4"/>
  <c r="K90" i="4"/>
  <c r="L90" i="4"/>
  <c r="AS90" i="4"/>
  <c r="AT90" i="4"/>
  <c r="AU90" i="4"/>
  <c r="I91" i="4"/>
  <c r="J91" i="4"/>
  <c r="K91" i="4"/>
  <c r="L91" i="4"/>
  <c r="Z91" i="4"/>
  <c r="AB91" i="4"/>
  <c r="AC91" i="4"/>
  <c r="AD91" i="4"/>
  <c r="AE91" i="4"/>
  <c r="AF91" i="4"/>
  <c r="AG91" i="4"/>
  <c r="AH91" i="4"/>
  <c r="AJ91" i="4"/>
  <c r="AK91" i="4"/>
  <c r="AL91" i="4"/>
  <c r="AO91" i="4"/>
  <c r="AP91" i="4"/>
  <c r="AV91" i="4"/>
  <c r="AW91" i="4"/>
  <c r="AX91" i="4"/>
  <c r="BC91" i="4"/>
  <c r="BD91" i="4"/>
  <c r="BF91" i="4"/>
  <c r="BH91" i="4"/>
  <c r="BI91" i="4"/>
  <c r="BJ91" i="4"/>
  <c r="I93" i="4"/>
  <c r="J93" i="4"/>
  <c r="K93" i="4"/>
  <c r="L93" i="4"/>
  <c r="AS93" i="4"/>
  <c r="AT93" i="4"/>
  <c r="AU93" i="4"/>
  <c r="I94" i="4"/>
  <c r="J94" i="4"/>
  <c r="K94" i="4"/>
  <c r="L94" i="4"/>
  <c r="Z94" i="4"/>
  <c r="AB94" i="4"/>
  <c r="AC94" i="4"/>
  <c r="AD94" i="4"/>
  <c r="AE94" i="4"/>
  <c r="AF94" i="4"/>
  <c r="AG94" i="4"/>
  <c r="AH94" i="4"/>
  <c r="AJ94" i="4"/>
  <c r="AK94" i="4"/>
  <c r="AL94" i="4"/>
  <c r="AO94" i="4"/>
  <c r="AP94" i="4"/>
  <c r="AV94" i="4"/>
  <c r="AW94" i="4"/>
  <c r="AX94" i="4"/>
  <c r="BC94" i="4"/>
  <c r="BD94" i="4"/>
  <c r="BF94" i="4"/>
  <c r="BH94" i="4"/>
  <c r="BI94" i="4"/>
  <c r="BJ94" i="4"/>
  <c r="I97" i="4"/>
  <c r="J97" i="4"/>
  <c r="K97" i="4"/>
  <c r="L97" i="4"/>
  <c r="Z97" i="4"/>
  <c r="AB97" i="4"/>
  <c r="AC97" i="4"/>
  <c r="AD97" i="4"/>
  <c r="AE97" i="4"/>
  <c r="AF97" i="4"/>
  <c r="AG97" i="4"/>
  <c r="AH97" i="4"/>
  <c r="AJ97" i="4"/>
  <c r="AK97" i="4"/>
  <c r="AL97" i="4"/>
  <c r="AO97" i="4"/>
  <c r="AP97" i="4"/>
  <c r="AV97" i="4"/>
  <c r="AW97" i="4"/>
  <c r="AX97" i="4"/>
  <c r="BC97" i="4"/>
  <c r="BD97" i="4"/>
  <c r="BF97" i="4"/>
  <c r="BH97" i="4"/>
  <c r="BI97" i="4"/>
  <c r="BJ97" i="4"/>
  <c r="I100" i="4"/>
  <c r="J100" i="4"/>
  <c r="K100" i="4"/>
  <c r="L100" i="4"/>
  <c r="AS100" i="4"/>
  <c r="AT100" i="4"/>
  <c r="AU100" i="4"/>
  <c r="I101" i="4"/>
  <c r="J101" i="4"/>
  <c r="K101" i="4"/>
  <c r="L101" i="4"/>
  <c r="Z101" i="4"/>
  <c r="AB101" i="4"/>
  <c r="AC101" i="4"/>
  <c r="AD101" i="4"/>
  <c r="AE101" i="4"/>
  <c r="AF101" i="4"/>
  <c r="AG101" i="4"/>
  <c r="AH101" i="4"/>
  <c r="AJ101" i="4"/>
  <c r="AK101" i="4"/>
  <c r="AL101" i="4"/>
  <c r="AO101" i="4"/>
  <c r="AP101" i="4"/>
  <c r="AV101" i="4"/>
  <c r="AW101" i="4"/>
  <c r="AX101" i="4"/>
  <c r="BC101" i="4"/>
  <c r="BD101" i="4"/>
  <c r="BF101" i="4"/>
  <c r="BH101" i="4"/>
  <c r="BI101" i="4"/>
  <c r="BJ101" i="4"/>
  <c r="I102" i="4"/>
  <c r="J102" i="4"/>
  <c r="K102" i="4"/>
  <c r="L102" i="4"/>
  <c r="Z102" i="4"/>
  <c r="AB102" i="4"/>
  <c r="AC102" i="4"/>
  <c r="AD102" i="4"/>
  <c r="AE102" i="4"/>
  <c r="AF102" i="4"/>
  <c r="AG102" i="4"/>
  <c r="AH102" i="4"/>
  <c r="AJ102" i="4"/>
  <c r="AK102" i="4"/>
  <c r="AL102" i="4"/>
  <c r="AO102" i="4"/>
  <c r="AP102" i="4"/>
  <c r="AV102" i="4"/>
  <c r="AW102" i="4"/>
  <c r="AX102" i="4"/>
  <c r="BC102" i="4"/>
  <c r="BD102" i="4"/>
  <c r="BF102" i="4"/>
  <c r="BH102" i="4"/>
  <c r="BI102" i="4"/>
  <c r="BJ102" i="4"/>
  <c r="I103" i="4"/>
  <c r="J103" i="4"/>
  <c r="K103" i="4"/>
  <c r="L103" i="4"/>
  <c r="AS103" i="4"/>
  <c r="AT103" i="4"/>
  <c r="AU103" i="4"/>
  <c r="I104" i="4"/>
  <c r="J104" i="4"/>
  <c r="K104" i="4"/>
  <c r="L104" i="4"/>
  <c r="Z104" i="4"/>
  <c r="AB104" i="4"/>
  <c r="AC104" i="4"/>
  <c r="AD104" i="4"/>
  <c r="AE104" i="4"/>
  <c r="AF104" i="4"/>
  <c r="AG104" i="4"/>
  <c r="AH104" i="4"/>
  <c r="AJ104" i="4"/>
  <c r="AK104" i="4"/>
  <c r="AL104" i="4"/>
  <c r="AO104" i="4"/>
  <c r="AP104" i="4"/>
  <c r="AV104" i="4"/>
  <c r="AW104" i="4"/>
  <c r="AX104" i="4"/>
  <c r="BC104" i="4"/>
  <c r="BD104" i="4"/>
  <c r="BF104" i="4"/>
  <c r="BH104" i="4"/>
  <c r="BI104" i="4"/>
  <c r="BJ104" i="4"/>
  <c r="I111" i="4"/>
  <c r="J111" i="4"/>
  <c r="K111" i="4"/>
  <c r="L111" i="4"/>
  <c r="Z111" i="4"/>
  <c r="AB111" i="4"/>
  <c r="AC111" i="4"/>
  <c r="AD111" i="4"/>
  <c r="AE111" i="4"/>
  <c r="AF111" i="4"/>
  <c r="AG111" i="4"/>
  <c r="AH111" i="4"/>
  <c r="AJ111" i="4"/>
  <c r="AK111" i="4"/>
  <c r="AL111" i="4"/>
  <c r="AO111" i="4"/>
  <c r="AP111" i="4"/>
  <c r="AV111" i="4"/>
  <c r="AW111" i="4"/>
  <c r="AX111" i="4"/>
  <c r="BC111" i="4"/>
  <c r="BD111" i="4"/>
  <c r="BF111" i="4"/>
  <c r="BH111" i="4"/>
  <c r="BI111" i="4"/>
  <c r="BJ111" i="4"/>
  <c r="I113" i="4"/>
  <c r="J113" i="4"/>
  <c r="K113" i="4"/>
  <c r="L113" i="4"/>
  <c r="Z113" i="4"/>
  <c r="AB113" i="4"/>
  <c r="AC113" i="4"/>
  <c r="AD113" i="4"/>
  <c r="AE113" i="4"/>
  <c r="AF113" i="4"/>
  <c r="AG113" i="4"/>
  <c r="AH113" i="4"/>
  <c r="AJ113" i="4"/>
  <c r="AK113" i="4"/>
  <c r="AL113" i="4"/>
  <c r="AO113" i="4"/>
  <c r="AP113" i="4"/>
  <c r="AV113" i="4"/>
  <c r="AW113" i="4"/>
  <c r="AX113" i="4"/>
  <c r="BC113" i="4"/>
  <c r="BD113" i="4"/>
  <c r="BF113" i="4"/>
  <c r="BH113" i="4"/>
  <c r="BI113" i="4"/>
  <c r="BJ113" i="4"/>
  <c r="I114" i="4"/>
  <c r="J114" i="4"/>
  <c r="K114" i="4"/>
  <c r="L114" i="4"/>
  <c r="Z114" i="4"/>
  <c r="AB114" i="4"/>
  <c r="AC114" i="4"/>
  <c r="AD114" i="4"/>
  <c r="AE114" i="4"/>
  <c r="AF114" i="4"/>
  <c r="AG114" i="4"/>
  <c r="AH114" i="4"/>
  <c r="AJ114" i="4"/>
  <c r="AK114" i="4"/>
  <c r="AL114" i="4"/>
  <c r="AO114" i="4"/>
  <c r="AP114" i="4"/>
  <c r="AV114" i="4"/>
  <c r="AW114" i="4"/>
  <c r="AX114" i="4"/>
  <c r="BC114" i="4"/>
  <c r="BD114" i="4"/>
  <c r="BF114" i="4"/>
  <c r="BH114" i="4"/>
  <c r="BI114" i="4"/>
  <c r="BJ114" i="4"/>
  <c r="I116" i="4"/>
  <c r="J116" i="4"/>
  <c r="K116" i="4"/>
  <c r="L116" i="4"/>
  <c r="Z116" i="4"/>
  <c r="AB116" i="4"/>
  <c r="AC116" i="4"/>
  <c r="AD116" i="4"/>
  <c r="AE116" i="4"/>
  <c r="AF116" i="4"/>
  <c r="AG116" i="4"/>
  <c r="AH116" i="4"/>
  <c r="AJ116" i="4"/>
  <c r="AK116" i="4"/>
  <c r="AL116" i="4"/>
  <c r="AO116" i="4"/>
  <c r="AP116" i="4"/>
  <c r="AV116" i="4"/>
  <c r="AW116" i="4"/>
  <c r="AX116" i="4"/>
  <c r="BC116" i="4"/>
  <c r="BD116" i="4"/>
  <c r="BF116" i="4"/>
  <c r="BH116" i="4"/>
  <c r="BI116" i="4"/>
  <c r="BJ116" i="4"/>
  <c r="I118" i="4"/>
  <c r="J118" i="4"/>
  <c r="K118" i="4"/>
  <c r="L118" i="4"/>
  <c r="Z118" i="4"/>
  <c r="AB118" i="4"/>
  <c r="AC118" i="4"/>
  <c r="AD118" i="4"/>
  <c r="AE118" i="4"/>
  <c r="AF118" i="4"/>
  <c r="AG118" i="4"/>
  <c r="AH118" i="4"/>
  <c r="AJ118" i="4"/>
  <c r="AK118" i="4"/>
  <c r="AL118" i="4"/>
  <c r="AO118" i="4"/>
  <c r="AP118" i="4"/>
  <c r="AV118" i="4"/>
  <c r="AW118" i="4"/>
  <c r="AX118" i="4"/>
  <c r="BC118" i="4"/>
  <c r="BD118" i="4"/>
  <c r="BF118" i="4"/>
  <c r="BH118" i="4"/>
  <c r="BI118" i="4"/>
  <c r="BJ118" i="4"/>
  <c r="I119" i="4"/>
  <c r="J119" i="4"/>
  <c r="K119" i="4"/>
  <c r="L119" i="4"/>
  <c r="Z119" i="4"/>
  <c r="AB119" i="4"/>
  <c r="AC119" i="4"/>
  <c r="AD119" i="4"/>
  <c r="AE119" i="4"/>
  <c r="AF119" i="4"/>
  <c r="AG119" i="4"/>
  <c r="AH119" i="4"/>
  <c r="AJ119" i="4"/>
  <c r="AK119" i="4"/>
  <c r="AL119" i="4"/>
  <c r="AO119" i="4"/>
  <c r="AP119" i="4"/>
  <c r="AV119" i="4"/>
  <c r="AW119" i="4"/>
  <c r="AX119" i="4"/>
  <c r="BC119" i="4"/>
  <c r="BD119" i="4"/>
  <c r="BF119" i="4"/>
  <c r="BH119" i="4"/>
  <c r="BI119" i="4"/>
  <c r="BJ119" i="4"/>
  <c r="I122" i="4"/>
  <c r="J122" i="4"/>
  <c r="K122" i="4"/>
  <c r="L122" i="4"/>
  <c r="AS122" i="4"/>
  <c r="AT122" i="4"/>
  <c r="AU122" i="4"/>
  <c r="I123" i="4"/>
  <c r="J123" i="4"/>
  <c r="K123" i="4"/>
  <c r="L123" i="4"/>
  <c r="Z123" i="4"/>
  <c r="AB123" i="4"/>
  <c r="AC123" i="4"/>
  <c r="AD123" i="4"/>
  <c r="AE123" i="4"/>
  <c r="AF123" i="4"/>
  <c r="AG123" i="4"/>
  <c r="AH123" i="4"/>
  <c r="AJ123" i="4"/>
  <c r="AK123" i="4"/>
  <c r="AL123" i="4"/>
  <c r="AO123" i="4"/>
  <c r="AP123" i="4"/>
  <c r="AV123" i="4"/>
  <c r="AW123" i="4"/>
  <c r="AX123" i="4"/>
  <c r="BC123" i="4"/>
  <c r="BD123" i="4"/>
  <c r="BF123" i="4"/>
  <c r="BH123" i="4"/>
  <c r="BI123" i="4"/>
  <c r="BJ123" i="4"/>
  <c r="I125" i="4"/>
  <c r="J125" i="4"/>
  <c r="K125" i="4"/>
  <c r="L125" i="4"/>
  <c r="Z125" i="4"/>
  <c r="AB125" i="4"/>
  <c r="AC125" i="4"/>
  <c r="AD125" i="4"/>
  <c r="AE125" i="4"/>
  <c r="AF125" i="4"/>
  <c r="AG125" i="4"/>
  <c r="AH125" i="4"/>
  <c r="AJ125" i="4"/>
  <c r="AK125" i="4"/>
  <c r="AL125" i="4"/>
  <c r="AO125" i="4"/>
  <c r="AP125" i="4"/>
  <c r="AV125" i="4"/>
  <c r="AW125" i="4"/>
  <c r="AX125" i="4"/>
  <c r="BC125" i="4"/>
  <c r="BD125" i="4"/>
  <c r="BF125" i="4"/>
  <c r="BH125" i="4"/>
  <c r="BI125" i="4"/>
  <c r="BJ125" i="4"/>
  <c r="I127" i="4"/>
  <c r="J127" i="4"/>
  <c r="K127" i="4"/>
  <c r="L127" i="4"/>
  <c r="Z127" i="4"/>
  <c r="AB127" i="4"/>
  <c r="AC127" i="4"/>
  <c r="AD127" i="4"/>
  <c r="AE127" i="4"/>
  <c r="AF127" i="4"/>
  <c r="AG127" i="4"/>
  <c r="AH127" i="4"/>
  <c r="AJ127" i="4"/>
  <c r="AK127" i="4"/>
  <c r="AL127" i="4"/>
  <c r="AO127" i="4"/>
  <c r="AP127" i="4"/>
  <c r="AV127" i="4"/>
  <c r="AW127" i="4"/>
  <c r="AX127" i="4"/>
  <c r="BC127" i="4"/>
  <c r="BD127" i="4"/>
  <c r="BF127" i="4"/>
  <c r="BH127" i="4"/>
  <c r="BI127" i="4"/>
  <c r="BJ127" i="4"/>
  <c r="I129" i="4"/>
  <c r="J129" i="4"/>
  <c r="K129" i="4"/>
  <c r="L129" i="4"/>
  <c r="Z129" i="4"/>
  <c r="AB129" i="4"/>
  <c r="AC129" i="4"/>
  <c r="AD129" i="4"/>
  <c r="AE129" i="4"/>
  <c r="AF129" i="4"/>
  <c r="AG129" i="4"/>
  <c r="AH129" i="4"/>
  <c r="AJ129" i="4"/>
  <c r="AK129" i="4"/>
  <c r="AL129" i="4"/>
  <c r="AO129" i="4"/>
  <c r="AP129" i="4"/>
  <c r="AV129" i="4"/>
  <c r="AW129" i="4"/>
  <c r="AX129" i="4"/>
  <c r="BC129" i="4"/>
  <c r="BD129" i="4"/>
  <c r="BF129" i="4"/>
  <c r="BH129" i="4"/>
  <c r="BI129" i="4"/>
  <c r="BJ129" i="4"/>
  <c r="I131" i="4"/>
  <c r="J131" i="4"/>
  <c r="K131" i="4"/>
  <c r="L131" i="4"/>
  <c r="Z131" i="4"/>
  <c r="AB131" i="4"/>
  <c r="AC131" i="4"/>
  <c r="AD131" i="4"/>
  <c r="AE131" i="4"/>
  <c r="AF131" i="4"/>
  <c r="AG131" i="4"/>
  <c r="AH131" i="4"/>
  <c r="AJ131" i="4"/>
  <c r="AK131" i="4"/>
  <c r="AL131" i="4"/>
  <c r="AO131" i="4"/>
  <c r="AP131" i="4"/>
  <c r="AV131" i="4"/>
  <c r="AW131" i="4"/>
  <c r="AX131" i="4"/>
  <c r="BC131" i="4"/>
  <c r="BD131" i="4"/>
  <c r="BF131" i="4"/>
  <c r="BH131" i="4"/>
  <c r="BI131" i="4"/>
  <c r="BJ131" i="4"/>
  <c r="I134" i="4"/>
  <c r="J134" i="4"/>
  <c r="K134" i="4"/>
  <c r="L134" i="4"/>
  <c r="Z134" i="4"/>
  <c r="AB134" i="4"/>
  <c r="AC134" i="4"/>
  <c r="AD134" i="4"/>
  <c r="AE134" i="4"/>
  <c r="AF134" i="4"/>
  <c r="AG134" i="4"/>
  <c r="AH134" i="4"/>
  <c r="AJ134" i="4"/>
  <c r="AK134" i="4"/>
  <c r="AL134" i="4"/>
  <c r="AO134" i="4"/>
  <c r="AP134" i="4"/>
  <c r="AV134" i="4"/>
  <c r="AW134" i="4"/>
  <c r="AX134" i="4"/>
  <c r="BC134" i="4"/>
  <c r="BD134" i="4"/>
  <c r="BF134" i="4"/>
  <c r="BH134" i="4"/>
  <c r="BI134" i="4"/>
  <c r="BJ134" i="4"/>
  <c r="I137" i="4"/>
  <c r="J137" i="4"/>
  <c r="K137" i="4"/>
  <c r="L137" i="4"/>
  <c r="Z137" i="4"/>
  <c r="AB137" i="4"/>
  <c r="AC137" i="4"/>
  <c r="AD137" i="4"/>
  <c r="AE137" i="4"/>
  <c r="AF137" i="4"/>
  <c r="AG137" i="4"/>
  <c r="AH137" i="4"/>
  <c r="AJ137" i="4"/>
  <c r="AK137" i="4"/>
  <c r="AL137" i="4"/>
  <c r="AO137" i="4"/>
  <c r="AP137" i="4"/>
  <c r="AV137" i="4"/>
  <c r="AW137" i="4"/>
  <c r="AX137" i="4"/>
  <c r="BC137" i="4"/>
  <c r="BD137" i="4"/>
  <c r="BF137" i="4"/>
  <c r="BH137" i="4"/>
  <c r="BI137" i="4"/>
  <c r="BJ137" i="4"/>
  <c r="I140" i="4"/>
  <c r="J140" i="4"/>
  <c r="K140" i="4"/>
  <c r="L140" i="4"/>
  <c r="Z140" i="4"/>
  <c r="AB140" i="4"/>
  <c r="AC140" i="4"/>
  <c r="AD140" i="4"/>
  <c r="AE140" i="4"/>
  <c r="AF140" i="4"/>
  <c r="AG140" i="4"/>
  <c r="AH140" i="4"/>
  <c r="AJ140" i="4"/>
  <c r="AK140" i="4"/>
  <c r="AL140" i="4"/>
  <c r="AO140" i="4"/>
  <c r="AP140" i="4"/>
  <c r="AV140" i="4"/>
  <c r="AW140" i="4"/>
  <c r="AX140" i="4"/>
  <c r="BC140" i="4"/>
  <c r="BD140" i="4"/>
  <c r="BF140" i="4"/>
  <c r="BH140" i="4"/>
  <c r="BI140" i="4"/>
  <c r="BJ140" i="4"/>
  <c r="I141" i="4"/>
  <c r="J141" i="4"/>
  <c r="K141" i="4"/>
  <c r="L141" i="4"/>
  <c r="Z141" i="4"/>
  <c r="AB141" i="4"/>
  <c r="AC141" i="4"/>
  <c r="AD141" i="4"/>
  <c r="AE141" i="4"/>
  <c r="AF141" i="4"/>
  <c r="AG141" i="4"/>
  <c r="AH141" i="4"/>
  <c r="AJ141" i="4"/>
  <c r="AK141" i="4"/>
  <c r="AL141" i="4"/>
  <c r="AO141" i="4"/>
  <c r="AP141" i="4"/>
  <c r="AV141" i="4"/>
  <c r="AW141" i="4"/>
  <c r="AX141" i="4"/>
  <c r="BC141" i="4"/>
  <c r="BD141" i="4"/>
  <c r="BF141" i="4"/>
  <c r="BH141" i="4"/>
  <c r="BI141" i="4"/>
  <c r="BJ141" i="4"/>
  <c r="I143" i="4"/>
  <c r="J143" i="4"/>
  <c r="K143" i="4"/>
  <c r="L143" i="4"/>
  <c r="Z143" i="4"/>
  <c r="AB143" i="4"/>
  <c r="AC143" i="4"/>
  <c r="AD143" i="4"/>
  <c r="AE143" i="4"/>
  <c r="AF143" i="4"/>
  <c r="AG143" i="4"/>
  <c r="AH143" i="4"/>
  <c r="AJ143" i="4"/>
  <c r="AK143" i="4"/>
  <c r="AL143" i="4"/>
  <c r="AO143" i="4"/>
  <c r="AP143" i="4"/>
  <c r="AV143" i="4"/>
  <c r="AW143" i="4"/>
  <c r="AX143" i="4"/>
  <c r="BC143" i="4"/>
  <c r="BD143" i="4"/>
  <c r="BF143" i="4"/>
  <c r="BH143" i="4"/>
  <c r="BI143" i="4"/>
  <c r="BJ143" i="4"/>
  <c r="I146" i="4"/>
  <c r="J146" i="4"/>
  <c r="K146" i="4"/>
  <c r="L146" i="4"/>
  <c r="Z146" i="4"/>
  <c r="AB146" i="4"/>
  <c r="AC146" i="4"/>
  <c r="AD146" i="4"/>
  <c r="AE146" i="4"/>
  <c r="AF146" i="4"/>
  <c r="AG146" i="4"/>
  <c r="AH146" i="4"/>
  <c r="AJ146" i="4"/>
  <c r="AK146" i="4"/>
  <c r="AL146" i="4"/>
  <c r="AO146" i="4"/>
  <c r="AP146" i="4"/>
  <c r="AV146" i="4"/>
  <c r="AW146" i="4"/>
  <c r="AX146" i="4"/>
  <c r="BC146" i="4"/>
  <c r="BD146" i="4"/>
  <c r="BF146" i="4"/>
  <c r="BH146" i="4"/>
  <c r="BI146" i="4"/>
  <c r="BJ146" i="4"/>
  <c r="I148" i="4"/>
  <c r="J148" i="4"/>
  <c r="K148" i="4"/>
  <c r="L148" i="4"/>
  <c r="Z148" i="4"/>
  <c r="AB148" i="4"/>
  <c r="AC148" i="4"/>
  <c r="AD148" i="4"/>
  <c r="AE148" i="4"/>
  <c r="AF148" i="4"/>
  <c r="AG148" i="4"/>
  <c r="AH148" i="4"/>
  <c r="AJ148" i="4"/>
  <c r="AK148" i="4"/>
  <c r="AL148" i="4"/>
  <c r="AO148" i="4"/>
  <c r="AP148" i="4"/>
  <c r="AV148" i="4"/>
  <c r="AW148" i="4"/>
  <c r="AX148" i="4"/>
  <c r="BC148" i="4"/>
  <c r="BD148" i="4"/>
  <c r="BF148" i="4"/>
  <c r="BH148" i="4"/>
  <c r="BI148" i="4"/>
  <c r="BJ148" i="4"/>
  <c r="I150" i="4"/>
  <c r="J150" i="4"/>
  <c r="K150" i="4"/>
  <c r="L150" i="4"/>
  <c r="Z150" i="4"/>
  <c r="AB150" i="4"/>
  <c r="AC150" i="4"/>
  <c r="AD150" i="4"/>
  <c r="AE150" i="4"/>
  <c r="AF150" i="4"/>
  <c r="AG150" i="4"/>
  <c r="AH150" i="4"/>
  <c r="AJ150" i="4"/>
  <c r="AK150" i="4"/>
  <c r="AL150" i="4"/>
  <c r="AO150" i="4"/>
  <c r="AP150" i="4"/>
  <c r="AV150" i="4"/>
  <c r="AW150" i="4"/>
  <c r="AX150" i="4"/>
  <c r="BC150" i="4"/>
  <c r="BD150" i="4"/>
  <c r="BF150" i="4"/>
  <c r="BH150" i="4"/>
  <c r="BI150" i="4"/>
  <c r="BJ150" i="4"/>
  <c r="I152" i="4"/>
  <c r="J152" i="4"/>
  <c r="K152" i="4"/>
  <c r="L152" i="4"/>
  <c r="Z152" i="4"/>
  <c r="AB152" i="4"/>
  <c r="AC152" i="4"/>
  <c r="AD152" i="4"/>
  <c r="AE152" i="4"/>
  <c r="AF152" i="4"/>
  <c r="AG152" i="4"/>
  <c r="AH152" i="4"/>
  <c r="AJ152" i="4"/>
  <c r="AK152" i="4"/>
  <c r="AL152" i="4"/>
  <c r="AO152" i="4"/>
  <c r="AP152" i="4"/>
  <c r="AV152" i="4"/>
  <c r="AW152" i="4"/>
  <c r="AX152" i="4"/>
  <c r="BC152" i="4"/>
  <c r="BD152" i="4"/>
  <c r="BF152" i="4"/>
  <c r="BH152" i="4"/>
  <c r="BI152" i="4"/>
  <c r="BJ152" i="4"/>
  <c r="I155" i="4"/>
  <c r="J155" i="4"/>
  <c r="K155" i="4"/>
  <c r="L155" i="4"/>
  <c r="AS155" i="4"/>
  <c r="AT155" i="4"/>
  <c r="AU155" i="4"/>
  <c r="I156" i="4"/>
  <c r="J156" i="4"/>
  <c r="K156" i="4"/>
  <c r="L156" i="4"/>
  <c r="Z156" i="4"/>
  <c r="AB156" i="4"/>
  <c r="AC156" i="4"/>
  <c r="AD156" i="4"/>
  <c r="AE156" i="4"/>
  <c r="AF156" i="4"/>
  <c r="AG156" i="4"/>
  <c r="AH156" i="4"/>
  <c r="AJ156" i="4"/>
  <c r="AK156" i="4"/>
  <c r="AL156" i="4"/>
  <c r="AO156" i="4"/>
  <c r="AP156" i="4"/>
  <c r="AV156" i="4"/>
  <c r="AW156" i="4"/>
  <c r="AX156" i="4"/>
  <c r="BC156" i="4"/>
  <c r="BD156" i="4"/>
  <c r="BF156" i="4"/>
  <c r="BH156" i="4"/>
  <c r="BI156" i="4"/>
  <c r="BJ156" i="4"/>
  <c r="I158" i="4"/>
  <c r="J158" i="4"/>
  <c r="K158" i="4"/>
  <c r="L158" i="4"/>
  <c r="Z158" i="4"/>
  <c r="AB158" i="4"/>
  <c r="AC158" i="4"/>
  <c r="AD158" i="4"/>
  <c r="AE158" i="4"/>
  <c r="AF158" i="4"/>
  <c r="AG158" i="4"/>
  <c r="AH158" i="4"/>
  <c r="AJ158" i="4"/>
  <c r="AK158" i="4"/>
  <c r="AL158" i="4"/>
  <c r="AO158" i="4"/>
  <c r="AP158" i="4"/>
  <c r="AV158" i="4"/>
  <c r="AW158" i="4"/>
  <c r="AX158" i="4"/>
  <c r="BC158" i="4"/>
  <c r="BD158" i="4"/>
  <c r="BF158" i="4"/>
  <c r="BH158" i="4"/>
  <c r="BI158" i="4"/>
  <c r="BJ158" i="4"/>
  <c r="I160" i="4"/>
  <c r="J160" i="4"/>
  <c r="K160" i="4"/>
  <c r="L160" i="4"/>
  <c r="Z160" i="4"/>
  <c r="AB160" i="4"/>
  <c r="AC160" i="4"/>
  <c r="AD160" i="4"/>
  <c r="AE160" i="4"/>
  <c r="AF160" i="4"/>
  <c r="AG160" i="4"/>
  <c r="AH160" i="4"/>
  <c r="AJ160" i="4"/>
  <c r="AK160" i="4"/>
  <c r="AL160" i="4"/>
  <c r="AO160" i="4"/>
  <c r="AP160" i="4"/>
  <c r="AV160" i="4"/>
  <c r="AW160" i="4"/>
  <c r="AX160" i="4"/>
  <c r="BC160" i="4"/>
  <c r="BD160" i="4"/>
  <c r="BF160" i="4"/>
  <c r="BH160" i="4"/>
  <c r="BI160" i="4"/>
  <c r="BJ160" i="4"/>
  <c r="I162" i="4"/>
  <c r="J162" i="4"/>
  <c r="K162" i="4"/>
  <c r="L162" i="4"/>
  <c r="Z162" i="4"/>
  <c r="AB162" i="4"/>
  <c r="AC162" i="4"/>
  <c r="AD162" i="4"/>
  <c r="AE162" i="4"/>
  <c r="AF162" i="4"/>
  <c r="AG162" i="4"/>
  <c r="AH162" i="4"/>
  <c r="AJ162" i="4"/>
  <c r="AK162" i="4"/>
  <c r="AL162" i="4"/>
  <c r="AO162" i="4"/>
  <c r="AP162" i="4"/>
  <c r="AV162" i="4"/>
  <c r="AW162" i="4"/>
  <c r="AX162" i="4"/>
  <c r="BC162" i="4"/>
  <c r="BD162" i="4"/>
  <c r="BF162" i="4"/>
  <c r="BH162" i="4"/>
  <c r="BI162" i="4"/>
  <c r="BJ162" i="4"/>
  <c r="I164" i="4"/>
  <c r="J164" i="4"/>
  <c r="K164" i="4"/>
  <c r="L164" i="4"/>
  <c r="Z164" i="4"/>
  <c r="AB164" i="4"/>
  <c r="AC164" i="4"/>
  <c r="AD164" i="4"/>
  <c r="AE164" i="4"/>
  <c r="AF164" i="4"/>
  <c r="AG164" i="4"/>
  <c r="AH164" i="4"/>
  <c r="AJ164" i="4"/>
  <c r="AK164" i="4"/>
  <c r="AL164" i="4"/>
  <c r="AO164" i="4"/>
  <c r="AP164" i="4"/>
  <c r="AV164" i="4"/>
  <c r="AW164" i="4"/>
  <c r="AX164" i="4"/>
  <c r="BC164" i="4"/>
  <c r="BD164" i="4"/>
  <c r="BF164" i="4"/>
  <c r="BH164" i="4"/>
  <c r="BI164" i="4"/>
  <c r="BJ164" i="4"/>
  <c r="I167" i="4"/>
  <c r="J167" i="4"/>
  <c r="K167" i="4"/>
  <c r="L167" i="4"/>
  <c r="Z167" i="4"/>
  <c r="AB167" i="4"/>
  <c r="AC167" i="4"/>
  <c r="AD167" i="4"/>
  <c r="AE167" i="4"/>
  <c r="AF167" i="4"/>
  <c r="AG167" i="4"/>
  <c r="AH167" i="4"/>
  <c r="AJ167" i="4"/>
  <c r="AK167" i="4"/>
  <c r="AL167" i="4"/>
  <c r="AO167" i="4"/>
  <c r="AP167" i="4"/>
  <c r="AV167" i="4"/>
  <c r="AW167" i="4"/>
  <c r="AX167" i="4"/>
  <c r="BC167" i="4"/>
  <c r="BD167" i="4"/>
  <c r="BF167" i="4"/>
  <c r="BH167" i="4"/>
  <c r="BI167" i="4"/>
  <c r="BJ167" i="4"/>
  <c r="I170" i="4"/>
  <c r="J170" i="4"/>
  <c r="K170" i="4"/>
  <c r="L170" i="4"/>
  <c r="Z170" i="4"/>
  <c r="AB170" i="4"/>
  <c r="AC170" i="4"/>
  <c r="AD170" i="4"/>
  <c r="AE170" i="4"/>
  <c r="AF170" i="4"/>
  <c r="AG170" i="4"/>
  <c r="AH170" i="4"/>
  <c r="AJ170" i="4"/>
  <c r="AK170" i="4"/>
  <c r="AL170" i="4"/>
  <c r="AO170" i="4"/>
  <c r="AP170" i="4"/>
  <c r="AV170" i="4"/>
  <c r="AW170" i="4"/>
  <c r="AX170" i="4"/>
  <c r="BC170" i="4"/>
  <c r="BD170" i="4"/>
  <c r="BF170" i="4"/>
  <c r="BH170" i="4"/>
  <c r="BI170" i="4"/>
  <c r="BJ170" i="4"/>
  <c r="I174" i="4"/>
  <c r="J174" i="4"/>
  <c r="K174" i="4"/>
  <c r="L174" i="4"/>
  <c r="Z174" i="4"/>
  <c r="AB174" i="4"/>
  <c r="AC174" i="4"/>
  <c r="AD174" i="4"/>
  <c r="AE174" i="4"/>
  <c r="AF174" i="4"/>
  <c r="AG174" i="4"/>
  <c r="AH174" i="4"/>
  <c r="AJ174" i="4"/>
  <c r="AK174" i="4"/>
  <c r="AL174" i="4"/>
  <c r="AO174" i="4"/>
  <c r="AP174" i="4"/>
  <c r="AV174" i="4"/>
  <c r="AW174" i="4"/>
  <c r="AX174" i="4"/>
  <c r="BC174" i="4"/>
  <c r="BD174" i="4"/>
  <c r="BF174" i="4"/>
  <c r="BH174" i="4"/>
  <c r="BI174" i="4"/>
  <c r="BJ174" i="4"/>
  <c r="I177" i="4"/>
  <c r="J177" i="4"/>
  <c r="K177" i="4"/>
  <c r="L177" i="4"/>
  <c r="Z177" i="4"/>
  <c r="AB177" i="4"/>
  <c r="AC177" i="4"/>
  <c r="AD177" i="4"/>
  <c r="AE177" i="4"/>
  <c r="AF177" i="4"/>
  <c r="AG177" i="4"/>
  <c r="AH177" i="4"/>
  <c r="AJ177" i="4"/>
  <c r="AK177" i="4"/>
  <c r="AL177" i="4"/>
  <c r="AO177" i="4"/>
  <c r="AP177" i="4"/>
  <c r="AV177" i="4"/>
  <c r="AW177" i="4"/>
  <c r="AX177" i="4"/>
  <c r="BC177" i="4"/>
  <c r="BD177" i="4"/>
  <c r="BF177" i="4"/>
  <c r="BH177" i="4"/>
  <c r="BI177" i="4"/>
  <c r="BJ177" i="4"/>
  <c r="I180" i="4"/>
  <c r="J180" i="4"/>
  <c r="K180" i="4"/>
  <c r="L180" i="4"/>
  <c r="Z180" i="4"/>
  <c r="AB180" i="4"/>
  <c r="AC180" i="4"/>
  <c r="AD180" i="4"/>
  <c r="AE180" i="4"/>
  <c r="AF180" i="4"/>
  <c r="AG180" i="4"/>
  <c r="AH180" i="4"/>
  <c r="AJ180" i="4"/>
  <c r="AK180" i="4"/>
  <c r="AL180" i="4"/>
  <c r="AO180" i="4"/>
  <c r="AP180" i="4"/>
  <c r="AV180" i="4"/>
  <c r="AW180" i="4"/>
  <c r="AX180" i="4"/>
  <c r="BC180" i="4"/>
  <c r="BD180" i="4"/>
  <c r="BF180" i="4"/>
  <c r="BH180" i="4"/>
  <c r="BI180" i="4"/>
  <c r="BJ180" i="4"/>
  <c r="I183" i="4"/>
  <c r="J183" i="4"/>
  <c r="K183" i="4"/>
  <c r="L183" i="4"/>
  <c r="AS183" i="4"/>
  <c r="AT183" i="4"/>
  <c r="AU183" i="4"/>
  <c r="I184" i="4"/>
  <c r="J184" i="4"/>
  <c r="K184" i="4"/>
  <c r="L184" i="4"/>
  <c r="Z184" i="4"/>
  <c r="AB184" i="4"/>
  <c r="AC184" i="4"/>
  <c r="AD184" i="4"/>
  <c r="AE184" i="4"/>
  <c r="AF184" i="4"/>
  <c r="AG184" i="4"/>
  <c r="AH184" i="4"/>
  <c r="AJ184" i="4"/>
  <c r="AK184" i="4"/>
  <c r="AL184" i="4"/>
  <c r="AO184" i="4"/>
  <c r="AP184" i="4"/>
  <c r="AV184" i="4"/>
  <c r="AW184" i="4"/>
  <c r="AX184" i="4"/>
  <c r="BC184" i="4"/>
  <c r="BD184" i="4"/>
  <c r="BF184" i="4"/>
  <c r="BH184" i="4"/>
  <c r="BI184" i="4"/>
  <c r="BJ184" i="4"/>
  <c r="I186" i="4"/>
  <c r="J186" i="4"/>
  <c r="K186" i="4"/>
  <c r="L186" i="4"/>
  <c r="Z186" i="4"/>
  <c r="AB186" i="4"/>
  <c r="AC186" i="4"/>
  <c r="AD186" i="4"/>
  <c r="AE186" i="4"/>
  <c r="AF186" i="4"/>
  <c r="AG186" i="4"/>
  <c r="AH186" i="4"/>
  <c r="AJ186" i="4"/>
  <c r="AK186" i="4"/>
  <c r="AL186" i="4"/>
  <c r="AO186" i="4"/>
  <c r="AP186" i="4"/>
  <c r="AV186" i="4"/>
  <c r="AW186" i="4"/>
  <c r="AX186" i="4"/>
  <c r="BC186" i="4"/>
  <c r="BD186" i="4"/>
  <c r="BF186" i="4"/>
  <c r="BH186" i="4"/>
  <c r="BI186" i="4"/>
  <c r="BJ186" i="4"/>
  <c r="I187" i="4"/>
  <c r="J187" i="4"/>
  <c r="K187" i="4"/>
  <c r="L187" i="4"/>
  <c r="AS187" i="4"/>
  <c r="AT187" i="4"/>
  <c r="AU187" i="4"/>
  <c r="I188" i="4"/>
  <c r="J188" i="4"/>
  <c r="K188" i="4"/>
  <c r="L188" i="4"/>
  <c r="Z188" i="4"/>
  <c r="AB188" i="4"/>
  <c r="AC188" i="4"/>
  <c r="AD188" i="4"/>
  <c r="AE188" i="4"/>
  <c r="AF188" i="4"/>
  <c r="AG188" i="4"/>
  <c r="AH188" i="4"/>
  <c r="AJ188" i="4"/>
  <c r="AK188" i="4"/>
  <c r="AL188" i="4"/>
  <c r="AO188" i="4"/>
  <c r="AP188" i="4"/>
  <c r="AV188" i="4"/>
  <c r="AW188" i="4"/>
  <c r="AX188" i="4"/>
  <c r="BC188" i="4"/>
  <c r="BD188" i="4"/>
  <c r="BF188" i="4"/>
  <c r="BH188" i="4"/>
  <c r="BI188" i="4"/>
  <c r="BJ188" i="4"/>
  <c r="I191" i="4"/>
  <c r="J191" i="4"/>
  <c r="K191" i="4"/>
  <c r="L191" i="4"/>
  <c r="Z191" i="4"/>
  <c r="AB191" i="4"/>
  <c r="AC191" i="4"/>
  <c r="AD191" i="4"/>
  <c r="AE191" i="4"/>
  <c r="AF191" i="4"/>
  <c r="AG191" i="4"/>
  <c r="AH191" i="4"/>
  <c r="AJ191" i="4"/>
  <c r="AK191" i="4"/>
  <c r="AL191" i="4"/>
  <c r="AO191" i="4"/>
  <c r="AP191" i="4"/>
  <c r="AV191" i="4"/>
  <c r="AW191" i="4"/>
  <c r="AX191" i="4"/>
  <c r="BC191" i="4"/>
  <c r="BD191" i="4"/>
  <c r="BF191" i="4"/>
  <c r="BH191" i="4"/>
  <c r="BI191" i="4"/>
  <c r="BJ191" i="4"/>
  <c r="I204" i="4"/>
  <c r="J204" i="4"/>
  <c r="K204" i="4"/>
  <c r="L204" i="4"/>
  <c r="AS204" i="4"/>
  <c r="AT204" i="4"/>
  <c r="AU204" i="4"/>
  <c r="I205" i="4"/>
  <c r="J205" i="4"/>
  <c r="K205" i="4"/>
  <c r="L205" i="4"/>
  <c r="Z205" i="4"/>
  <c r="AB205" i="4"/>
  <c r="AC205" i="4"/>
  <c r="AD205" i="4"/>
  <c r="AE205" i="4"/>
  <c r="AF205" i="4"/>
  <c r="AG205" i="4"/>
  <c r="AH205" i="4"/>
  <c r="AJ205" i="4"/>
  <c r="AK205" i="4"/>
  <c r="AL205" i="4"/>
  <c r="AO205" i="4"/>
  <c r="AP205" i="4"/>
  <c r="AV205" i="4"/>
  <c r="AW205" i="4"/>
  <c r="AX205" i="4"/>
  <c r="BC205" i="4"/>
  <c r="BD205" i="4"/>
  <c r="BF205" i="4"/>
  <c r="BH205" i="4"/>
  <c r="BI205" i="4"/>
  <c r="BJ205" i="4"/>
  <c r="I208" i="4"/>
  <c r="J208" i="4"/>
  <c r="K208" i="4"/>
  <c r="L208" i="4"/>
  <c r="AS208" i="4"/>
  <c r="AT208" i="4"/>
  <c r="AU208" i="4"/>
  <c r="I209" i="4"/>
  <c r="J209" i="4"/>
  <c r="K209" i="4"/>
  <c r="L209" i="4"/>
  <c r="Z209" i="4"/>
  <c r="AB209" i="4"/>
  <c r="AC209" i="4"/>
  <c r="AD209" i="4"/>
  <c r="AE209" i="4"/>
  <c r="AF209" i="4"/>
  <c r="AG209" i="4"/>
  <c r="AH209" i="4"/>
  <c r="AJ209" i="4"/>
  <c r="AK209" i="4"/>
  <c r="AL209" i="4"/>
  <c r="AO209" i="4"/>
  <c r="AP209" i="4"/>
  <c r="AV209" i="4"/>
  <c r="AW209" i="4"/>
  <c r="AX209" i="4"/>
  <c r="BC209" i="4"/>
  <c r="BD209" i="4"/>
  <c r="BF209" i="4"/>
  <c r="BH209" i="4"/>
  <c r="BI209" i="4"/>
  <c r="BJ209" i="4"/>
  <c r="I212" i="4"/>
  <c r="J212" i="4"/>
  <c r="K212" i="4"/>
  <c r="L212" i="4"/>
  <c r="Z212" i="4"/>
  <c r="AB212" i="4"/>
  <c r="AC212" i="4"/>
  <c r="AD212" i="4"/>
  <c r="AE212" i="4"/>
  <c r="AF212" i="4"/>
  <c r="AG212" i="4"/>
  <c r="AH212" i="4"/>
  <c r="AJ212" i="4"/>
  <c r="AK212" i="4"/>
  <c r="AL212" i="4"/>
  <c r="AO212" i="4"/>
  <c r="AP212" i="4"/>
  <c r="AV212" i="4"/>
  <c r="AW212" i="4"/>
  <c r="AX212" i="4"/>
  <c r="BC212" i="4"/>
  <c r="BD212" i="4"/>
  <c r="BF212" i="4"/>
  <c r="BH212" i="4"/>
  <c r="BI212" i="4"/>
  <c r="BJ212" i="4"/>
  <c r="I215" i="4"/>
  <c r="J215" i="4"/>
  <c r="K215" i="4"/>
  <c r="L215" i="4"/>
  <c r="Z215" i="4"/>
  <c r="AB215" i="4"/>
  <c r="AC215" i="4"/>
  <c r="AD215" i="4"/>
  <c r="AE215" i="4"/>
  <c r="AF215" i="4"/>
  <c r="AG215" i="4"/>
  <c r="AH215" i="4"/>
  <c r="AJ215" i="4"/>
  <c r="AK215" i="4"/>
  <c r="AL215" i="4"/>
  <c r="AO215" i="4"/>
  <c r="AP215" i="4"/>
  <c r="AV215" i="4"/>
  <c r="AW215" i="4"/>
  <c r="AX215" i="4"/>
  <c r="BC215" i="4"/>
  <c r="BD215" i="4"/>
  <c r="BF215" i="4"/>
  <c r="BH215" i="4"/>
  <c r="BI215" i="4"/>
  <c r="BJ215" i="4"/>
  <c r="I218" i="4"/>
  <c r="J218" i="4"/>
  <c r="K218" i="4"/>
  <c r="L218" i="4"/>
  <c r="Z218" i="4"/>
  <c r="AB218" i="4"/>
  <c r="AC218" i="4"/>
  <c r="AD218" i="4"/>
  <c r="AE218" i="4"/>
  <c r="AF218" i="4"/>
  <c r="AG218" i="4"/>
  <c r="AH218" i="4"/>
  <c r="AJ218" i="4"/>
  <c r="AK218" i="4"/>
  <c r="AL218" i="4"/>
  <c r="AO218" i="4"/>
  <c r="AP218" i="4"/>
  <c r="AV218" i="4"/>
  <c r="AW218" i="4"/>
  <c r="AX218" i="4"/>
  <c r="BC218" i="4"/>
  <c r="BD218" i="4"/>
  <c r="BF218" i="4"/>
  <c r="BH218" i="4"/>
  <c r="BI218" i="4"/>
  <c r="BJ218" i="4"/>
  <c r="I221" i="4"/>
  <c r="J221" i="4"/>
  <c r="K221" i="4"/>
  <c r="L221" i="4"/>
  <c r="Z221" i="4"/>
  <c r="AB221" i="4"/>
  <c r="AC221" i="4"/>
  <c r="AD221" i="4"/>
  <c r="AE221" i="4"/>
  <c r="AF221" i="4"/>
  <c r="AG221" i="4"/>
  <c r="AH221" i="4"/>
  <c r="AJ221" i="4"/>
  <c r="AK221" i="4"/>
  <c r="AL221" i="4"/>
  <c r="AO221" i="4"/>
  <c r="AP221" i="4"/>
  <c r="AV221" i="4"/>
  <c r="AW221" i="4"/>
  <c r="AX221" i="4"/>
  <c r="BC221" i="4"/>
  <c r="BD221" i="4"/>
  <c r="BF221" i="4"/>
  <c r="BH221" i="4"/>
  <c r="BI221" i="4"/>
  <c r="BJ221" i="4"/>
  <c r="I225" i="4"/>
  <c r="J225" i="4"/>
  <c r="K225" i="4"/>
  <c r="L225" i="4"/>
  <c r="Z225" i="4"/>
  <c r="AB225" i="4"/>
  <c r="AC225" i="4"/>
  <c r="AD225" i="4"/>
  <c r="AE225" i="4"/>
  <c r="AF225" i="4"/>
  <c r="AG225" i="4"/>
  <c r="AH225" i="4"/>
  <c r="AJ225" i="4"/>
  <c r="AK225" i="4"/>
  <c r="AL225" i="4"/>
  <c r="AO225" i="4"/>
  <c r="AP225" i="4"/>
  <c r="AV225" i="4"/>
  <c r="AW225" i="4"/>
  <c r="AX225" i="4"/>
  <c r="BC225" i="4"/>
  <c r="BD225" i="4"/>
  <c r="BF225" i="4"/>
  <c r="BH225" i="4"/>
  <c r="BI225" i="4"/>
  <c r="BJ225" i="4"/>
  <c r="I229" i="4"/>
  <c r="J229" i="4"/>
  <c r="K229" i="4"/>
  <c r="L229" i="4"/>
  <c r="Z229" i="4"/>
  <c r="AB229" i="4"/>
  <c r="AC229" i="4"/>
  <c r="AD229" i="4"/>
  <c r="AE229" i="4"/>
  <c r="AF229" i="4"/>
  <c r="AG229" i="4"/>
  <c r="AH229" i="4"/>
  <c r="AJ229" i="4"/>
  <c r="AK229" i="4"/>
  <c r="AL229" i="4"/>
  <c r="AO229" i="4"/>
  <c r="AP229" i="4"/>
  <c r="AV229" i="4"/>
  <c r="AW229" i="4"/>
  <c r="AX229" i="4"/>
  <c r="BC229" i="4"/>
  <c r="BD229" i="4"/>
  <c r="BF229" i="4"/>
  <c r="BH229" i="4"/>
  <c r="BI229" i="4"/>
  <c r="BJ229" i="4"/>
  <c r="I232" i="4"/>
  <c r="J232" i="4"/>
  <c r="K232" i="4"/>
  <c r="L232" i="4"/>
  <c r="Z232" i="4"/>
  <c r="AB232" i="4"/>
  <c r="AC232" i="4"/>
  <c r="AD232" i="4"/>
  <c r="AE232" i="4"/>
  <c r="AF232" i="4"/>
  <c r="AG232" i="4"/>
  <c r="AH232" i="4"/>
  <c r="AJ232" i="4"/>
  <c r="AK232" i="4"/>
  <c r="AL232" i="4"/>
  <c r="AO232" i="4"/>
  <c r="AP232" i="4"/>
  <c r="AV232" i="4"/>
  <c r="AW232" i="4"/>
  <c r="AX232" i="4"/>
  <c r="BC232" i="4"/>
  <c r="BD232" i="4"/>
  <c r="BF232" i="4"/>
  <c r="BH232" i="4"/>
  <c r="BI232" i="4"/>
  <c r="BJ232" i="4"/>
  <c r="I235" i="4"/>
  <c r="J235" i="4"/>
  <c r="K235" i="4"/>
  <c r="L235" i="4"/>
  <c r="AS235" i="4"/>
  <c r="AT235" i="4"/>
  <c r="AU235" i="4"/>
  <c r="I236" i="4"/>
  <c r="J236" i="4"/>
  <c r="K236" i="4"/>
  <c r="L236" i="4"/>
  <c r="Z236" i="4"/>
  <c r="AB236" i="4"/>
  <c r="AC236" i="4"/>
  <c r="AD236" i="4"/>
  <c r="AE236" i="4"/>
  <c r="AF236" i="4"/>
  <c r="AG236" i="4"/>
  <c r="AH236" i="4"/>
  <c r="AJ236" i="4"/>
  <c r="AK236" i="4"/>
  <c r="AL236" i="4"/>
  <c r="AO236" i="4"/>
  <c r="AP236" i="4"/>
  <c r="AV236" i="4"/>
  <c r="AW236" i="4"/>
  <c r="AX236" i="4"/>
  <c r="BC236" i="4"/>
  <c r="BD236" i="4"/>
  <c r="BF236" i="4"/>
  <c r="BH236" i="4"/>
  <c r="BI236" i="4"/>
  <c r="BJ236" i="4"/>
  <c r="I242" i="4"/>
  <c r="J242" i="4"/>
  <c r="K242" i="4"/>
  <c r="L242" i="4"/>
  <c r="Z242" i="4"/>
  <c r="AB242" i="4"/>
  <c r="AC242" i="4"/>
  <c r="AD242" i="4"/>
  <c r="AE242" i="4"/>
  <c r="AF242" i="4"/>
  <c r="AG242" i="4"/>
  <c r="AH242" i="4"/>
  <c r="AJ242" i="4"/>
  <c r="AK242" i="4"/>
  <c r="AL242" i="4"/>
  <c r="AO242" i="4"/>
  <c r="AP242" i="4"/>
  <c r="AV242" i="4"/>
  <c r="AW242" i="4"/>
  <c r="AX242" i="4"/>
  <c r="BC242" i="4"/>
  <c r="BD242" i="4"/>
  <c r="BF242" i="4"/>
  <c r="BH242" i="4"/>
  <c r="BI242" i="4"/>
  <c r="BJ242" i="4"/>
  <c r="I244" i="4"/>
  <c r="J244" i="4"/>
  <c r="K244" i="4"/>
  <c r="L244" i="4"/>
  <c r="Z244" i="4"/>
  <c r="AB244" i="4"/>
  <c r="AC244" i="4"/>
  <c r="AD244" i="4"/>
  <c r="AE244" i="4"/>
  <c r="AF244" i="4"/>
  <c r="AG244" i="4"/>
  <c r="AH244" i="4"/>
  <c r="AJ244" i="4"/>
  <c r="AK244" i="4"/>
  <c r="AL244" i="4"/>
  <c r="AO244" i="4"/>
  <c r="AP244" i="4"/>
  <c r="AV244" i="4"/>
  <c r="AW244" i="4"/>
  <c r="AX244" i="4"/>
  <c r="BC244" i="4"/>
  <c r="BD244" i="4"/>
  <c r="BF244" i="4"/>
  <c r="BH244" i="4"/>
  <c r="BI244" i="4"/>
  <c r="BJ244" i="4"/>
  <c r="I246" i="4"/>
  <c r="J246" i="4"/>
  <c r="K246" i="4"/>
  <c r="L246" i="4"/>
  <c r="Z246" i="4"/>
  <c r="AB246" i="4"/>
  <c r="AC246" i="4"/>
  <c r="AD246" i="4"/>
  <c r="AE246" i="4"/>
  <c r="AF246" i="4"/>
  <c r="AG246" i="4"/>
  <c r="AH246" i="4"/>
  <c r="AJ246" i="4"/>
  <c r="AK246" i="4"/>
  <c r="AL246" i="4"/>
  <c r="AO246" i="4"/>
  <c r="AP246" i="4"/>
  <c r="AV246" i="4"/>
  <c r="AW246" i="4"/>
  <c r="AX246" i="4"/>
  <c r="BC246" i="4"/>
  <c r="BD246" i="4"/>
  <c r="BF246" i="4"/>
  <c r="BH246" i="4"/>
  <c r="BI246" i="4"/>
  <c r="BJ246" i="4"/>
  <c r="I248" i="4"/>
  <c r="J248" i="4"/>
  <c r="K248" i="4"/>
  <c r="L248" i="4"/>
  <c r="Z248" i="4"/>
  <c r="AB248" i="4"/>
  <c r="AC248" i="4"/>
  <c r="AD248" i="4"/>
  <c r="AE248" i="4"/>
  <c r="AF248" i="4"/>
  <c r="AG248" i="4"/>
  <c r="AH248" i="4"/>
  <c r="AJ248" i="4"/>
  <c r="AK248" i="4"/>
  <c r="AL248" i="4"/>
  <c r="AO248" i="4"/>
  <c r="AP248" i="4"/>
  <c r="AV248" i="4"/>
  <c r="AW248" i="4"/>
  <c r="AX248" i="4"/>
  <c r="BC248" i="4"/>
  <c r="BD248" i="4"/>
  <c r="BF248" i="4"/>
  <c r="BH248" i="4"/>
  <c r="BI248" i="4"/>
  <c r="BJ248" i="4"/>
  <c r="I250" i="4"/>
  <c r="J250" i="4"/>
  <c r="K250" i="4"/>
  <c r="L250" i="4"/>
  <c r="Z250" i="4"/>
  <c r="AB250" i="4"/>
  <c r="AC250" i="4"/>
  <c r="AD250" i="4"/>
  <c r="AE250" i="4"/>
  <c r="AF250" i="4"/>
  <c r="AG250" i="4"/>
  <c r="AH250" i="4"/>
  <c r="AJ250" i="4"/>
  <c r="AK250" i="4"/>
  <c r="AL250" i="4"/>
  <c r="AO250" i="4"/>
  <c r="AP250" i="4"/>
  <c r="AV250" i="4"/>
  <c r="AW250" i="4"/>
  <c r="AX250" i="4"/>
  <c r="BC250" i="4"/>
  <c r="BD250" i="4"/>
  <c r="BF250" i="4"/>
  <c r="BH250" i="4"/>
  <c r="BI250" i="4"/>
  <c r="BJ250" i="4"/>
  <c r="I252" i="4"/>
  <c r="J252" i="4"/>
  <c r="K252" i="4"/>
  <c r="L252" i="4"/>
  <c r="AS252" i="4"/>
  <c r="AT252" i="4"/>
  <c r="AU252" i="4"/>
  <c r="I253" i="4"/>
  <c r="J253" i="4"/>
  <c r="K253" i="4"/>
  <c r="L253" i="4"/>
  <c r="Z253" i="4"/>
  <c r="AB253" i="4"/>
  <c r="AC253" i="4"/>
  <c r="AD253" i="4"/>
  <c r="AE253" i="4"/>
  <c r="AF253" i="4"/>
  <c r="AG253" i="4"/>
  <c r="AH253" i="4"/>
  <c r="AJ253" i="4"/>
  <c r="AK253" i="4"/>
  <c r="AL253" i="4"/>
  <c r="AO253" i="4"/>
  <c r="AP253" i="4"/>
  <c r="AV253" i="4"/>
  <c r="AW253" i="4"/>
  <c r="AX253" i="4"/>
  <c r="BC253" i="4"/>
  <c r="BD253" i="4"/>
  <c r="BF253" i="4"/>
  <c r="BH253" i="4"/>
  <c r="BI253" i="4"/>
  <c r="BJ253" i="4"/>
  <c r="I258" i="4"/>
  <c r="J258" i="4"/>
  <c r="K258" i="4"/>
  <c r="L258" i="4"/>
  <c r="Z258" i="4"/>
  <c r="AB258" i="4"/>
  <c r="AC258" i="4"/>
  <c r="AD258" i="4"/>
  <c r="AE258" i="4"/>
  <c r="AF258" i="4"/>
  <c r="AG258" i="4"/>
  <c r="AH258" i="4"/>
  <c r="AJ258" i="4"/>
  <c r="AK258" i="4"/>
  <c r="AL258" i="4"/>
  <c r="AO258" i="4"/>
  <c r="AP258" i="4"/>
  <c r="AV258" i="4"/>
  <c r="AW258" i="4"/>
  <c r="AX258" i="4"/>
  <c r="BC258" i="4"/>
  <c r="BD258" i="4"/>
  <c r="BF258" i="4"/>
  <c r="BH258" i="4"/>
  <c r="BI258" i="4"/>
  <c r="BJ258" i="4"/>
  <c r="I260" i="4"/>
  <c r="J260" i="4"/>
  <c r="K260" i="4"/>
  <c r="L260" i="4"/>
  <c r="Z260" i="4"/>
  <c r="AB260" i="4"/>
  <c r="AC260" i="4"/>
  <c r="AD260" i="4"/>
  <c r="AE260" i="4"/>
  <c r="AF260" i="4"/>
  <c r="AG260" i="4"/>
  <c r="AH260" i="4"/>
  <c r="AJ260" i="4"/>
  <c r="AK260" i="4"/>
  <c r="AL260" i="4"/>
  <c r="AO260" i="4"/>
  <c r="AP260" i="4"/>
  <c r="AV260" i="4"/>
  <c r="AW260" i="4"/>
  <c r="AX260" i="4"/>
  <c r="BC260" i="4"/>
  <c r="BD260" i="4"/>
  <c r="BF260" i="4"/>
  <c r="BH260" i="4"/>
  <c r="BI260" i="4"/>
  <c r="BJ260" i="4"/>
  <c r="I262" i="4"/>
  <c r="J262" i="4"/>
  <c r="K262" i="4"/>
  <c r="L262" i="4"/>
  <c r="Z262" i="4"/>
  <c r="AB262" i="4"/>
  <c r="AC262" i="4"/>
  <c r="AD262" i="4"/>
  <c r="AE262" i="4"/>
  <c r="AF262" i="4"/>
  <c r="AG262" i="4"/>
  <c r="AH262" i="4"/>
  <c r="AJ262" i="4"/>
  <c r="AK262" i="4"/>
  <c r="AL262" i="4"/>
  <c r="AO262" i="4"/>
  <c r="AP262" i="4"/>
  <c r="AV262" i="4"/>
  <c r="AW262" i="4"/>
  <c r="AX262" i="4"/>
  <c r="BC262" i="4"/>
  <c r="BD262" i="4"/>
  <c r="BF262" i="4"/>
  <c r="BH262" i="4"/>
  <c r="BI262" i="4"/>
  <c r="BJ262" i="4"/>
  <c r="I264" i="4"/>
  <c r="J264" i="4"/>
  <c r="K264" i="4"/>
  <c r="L264" i="4"/>
  <c r="Z264" i="4"/>
  <c r="AB264" i="4"/>
  <c r="AC264" i="4"/>
  <c r="AD264" i="4"/>
  <c r="AE264" i="4"/>
  <c r="AF264" i="4"/>
  <c r="AG264" i="4"/>
  <c r="AH264" i="4"/>
  <c r="AJ264" i="4"/>
  <c r="AK264" i="4"/>
  <c r="AL264" i="4"/>
  <c r="AO264" i="4"/>
  <c r="AP264" i="4"/>
  <c r="AV264" i="4"/>
  <c r="AW264" i="4"/>
  <c r="AX264" i="4"/>
  <c r="BC264" i="4"/>
  <c r="BD264" i="4"/>
  <c r="BF264" i="4"/>
  <c r="BH264" i="4"/>
  <c r="BI264" i="4"/>
  <c r="BJ264" i="4"/>
  <c r="I266" i="4"/>
  <c r="J266" i="4"/>
  <c r="K266" i="4"/>
  <c r="L266" i="4"/>
  <c r="Z266" i="4"/>
  <c r="AB266" i="4"/>
  <c r="AC266" i="4"/>
  <c r="AD266" i="4"/>
  <c r="AE266" i="4"/>
  <c r="AF266" i="4"/>
  <c r="AG266" i="4"/>
  <c r="AH266" i="4"/>
  <c r="AJ266" i="4"/>
  <c r="AK266" i="4"/>
  <c r="AL266" i="4"/>
  <c r="AO266" i="4"/>
  <c r="AP266" i="4"/>
  <c r="AV266" i="4"/>
  <c r="AW266" i="4"/>
  <c r="AX266" i="4"/>
  <c r="BC266" i="4"/>
  <c r="BD266" i="4"/>
  <c r="BF266" i="4"/>
  <c r="BH266" i="4"/>
  <c r="BI266" i="4"/>
  <c r="BJ266" i="4"/>
  <c r="I268" i="4"/>
  <c r="J268" i="4"/>
  <c r="K268" i="4"/>
  <c r="L268" i="4"/>
  <c r="Z268" i="4"/>
  <c r="AB268" i="4"/>
  <c r="AC268" i="4"/>
  <c r="AD268" i="4"/>
  <c r="AE268" i="4"/>
  <c r="AF268" i="4"/>
  <c r="AG268" i="4"/>
  <c r="AH268" i="4"/>
  <c r="AJ268" i="4"/>
  <c r="AK268" i="4"/>
  <c r="AL268" i="4"/>
  <c r="AO268" i="4"/>
  <c r="AP268" i="4"/>
  <c r="AV268" i="4"/>
  <c r="AW268" i="4"/>
  <c r="AX268" i="4"/>
  <c r="BC268" i="4"/>
  <c r="BD268" i="4"/>
  <c r="BF268" i="4"/>
  <c r="BH268" i="4"/>
  <c r="BI268" i="4"/>
  <c r="BJ268" i="4"/>
  <c r="I270" i="4"/>
  <c r="J270" i="4"/>
  <c r="K270" i="4"/>
  <c r="L270" i="4"/>
  <c r="Z270" i="4"/>
  <c r="AB270" i="4"/>
  <c r="AC270" i="4"/>
  <c r="AD270" i="4"/>
  <c r="AE270" i="4"/>
  <c r="AF270" i="4"/>
  <c r="AG270" i="4"/>
  <c r="AH270" i="4"/>
  <c r="AJ270" i="4"/>
  <c r="AK270" i="4"/>
  <c r="AL270" i="4"/>
  <c r="AO270" i="4"/>
  <c r="AP270" i="4"/>
  <c r="AV270" i="4"/>
  <c r="AW270" i="4"/>
  <c r="AX270" i="4"/>
  <c r="BC270" i="4"/>
  <c r="BD270" i="4"/>
  <c r="BF270" i="4"/>
  <c r="BH270" i="4"/>
  <c r="BI270" i="4"/>
  <c r="BJ270" i="4"/>
  <c r="I272" i="4"/>
  <c r="J272" i="4"/>
  <c r="K272" i="4"/>
  <c r="L272" i="4"/>
  <c r="AS272" i="4"/>
  <c r="AT272" i="4"/>
  <c r="AU272" i="4"/>
  <c r="I273" i="4"/>
  <c r="J273" i="4"/>
  <c r="K273" i="4"/>
  <c r="L273" i="4"/>
  <c r="Z273" i="4"/>
  <c r="AB273" i="4"/>
  <c r="AC273" i="4"/>
  <c r="AD273" i="4"/>
  <c r="AE273" i="4"/>
  <c r="AF273" i="4"/>
  <c r="AG273" i="4"/>
  <c r="AH273" i="4"/>
  <c r="AJ273" i="4"/>
  <c r="AK273" i="4"/>
  <c r="AL273" i="4"/>
  <c r="AO273" i="4"/>
  <c r="AP273" i="4"/>
  <c r="AV273" i="4"/>
  <c r="AW273" i="4"/>
  <c r="AX273" i="4"/>
  <c r="BC273" i="4"/>
  <c r="BD273" i="4"/>
  <c r="BF273" i="4"/>
  <c r="BH273" i="4"/>
  <c r="BI273" i="4"/>
  <c r="BJ273" i="4"/>
  <c r="I274" i="4"/>
  <c r="J274" i="4"/>
  <c r="K274" i="4"/>
  <c r="L274" i="4"/>
  <c r="I275" i="4"/>
  <c r="J275" i="4"/>
  <c r="K275" i="4"/>
  <c r="L275" i="4"/>
  <c r="AS275" i="4"/>
  <c r="AT275" i="4"/>
  <c r="AU275" i="4"/>
  <c r="I276" i="4"/>
  <c r="J276" i="4"/>
  <c r="K276" i="4"/>
  <c r="L276" i="4"/>
  <c r="Z276" i="4"/>
  <c r="AB276" i="4"/>
  <c r="AC276" i="4"/>
  <c r="AD276" i="4"/>
  <c r="AE276" i="4"/>
  <c r="AF276" i="4"/>
  <c r="AG276" i="4"/>
  <c r="AH276" i="4"/>
  <c r="AJ276" i="4"/>
  <c r="AK276" i="4"/>
  <c r="AL276" i="4"/>
  <c r="AO276" i="4"/>
  <c r="AP276" i="4"/>
  <c r="AV276" i="4"/>
  <c r="AW276" i="4"/>
  <c r="AX276" i="4"/>
  <c r="BC276" i="4"/>
  <c r="BD276" i="4"/>
  <c r="BF276" i="4"/>
  <c r="BH276" i="4"/>
  <c r="BI276" i="4"/>
  <c r="BJ276" i="4"/>
  <c r="I278" i="4"/>
  <c r="J278" i="4"/>
  <c r="K278" i="4"/>
  <c r="L278" i="4"/>
  <c r="Z278" i="4"/>
  <c r="AB278" i="4"/>
  <c r="AC278" i="4"/>
  <c r="AD278" i="4"/>
  <c r="AE278" i="4"/>
  <c r="AF278" i="4"/>
  <c r="AG278" i="4"/>
  <c r="AH278" i="4"/>
  <c r="AJ278" i="4"/>
  <c r="AK278" i="4"/>
  <c r="AL278" i="4"/>
  <c r="AO278" i="4"/>
  <c r="AP278" i="4"/>
  <c r="AV278" i="4"/>
  <c r="AW278" i="4"/>
  <c r="AX278" i="4"/>
  <c r="BC278" i="4"/>
  <c r="BD278" i="4"/>
  <c r="BF278" i="4"/>
  <c r="BH278" i="4"/>
  <c r="BI278" i="4"/>
  <c r="BJ278" i="4"/>
  <c r="I281" i="4"/>
  <c r="J281" i="4"/>
  <c r="K281" i="4"/>
  <c r="L281" i="4"/>
  <c r="Z281" i="4"/>
  <c r="AB281" i="4"/>
  <c r="AC281" i="4"/>
  <c r="AD281" i="4"/>
  <c r="AE281" i="4"/>
  <c r="AF281" i="4"/>
  <c r="AG281" i="4"/>
  <c r="AH281" i="4"/>
  <c r="AJ281" i="4"/>
  <c r="AK281" i="4"/>
  <c r="AL281" i="4"/>
  <c r="AO281" i="4"/>
  <c r="AP281" i="4"/>
  <c r="AV281" i="4"/>
  <c r="AW281" i="4"/>
  <c r="AX281" i="4"/>
  <c r="BC281" i="4"/>
  <c r="BD281" i="4"/>
  <c r="BF281" i="4"/>
  <c r="BH281" i="4"/>
  <c r="BI281" i="4"/>
  <c r="BJ281" i="4"/>
  <c r="I283" i="4"/>
  <c r="J283" i="4"/>
  <c r="K283" i="4"/>
  <c r="L283" i="4"/>
  <c r="Z283" i="4"/>
  <c r="AB283" i="4"/>
  <c r="AC283" i="4"/>
  <c r="AD283" i="4"/>
  <c r="AE283" i="4"/>
  <c r="AF283" i="4"/>
  <c r="AG283" i="4"/>
  <c r="AH283" i="4"/>
  <c r="AJ283" i="4"/>
  <c r="AK283" i="4"/>
  <c r="AL283" i="4"/>
  <c r="AO283" i="4"/>
  <c r="AP283" i="4"/>
  <c r="AV283" i="4"/>
  <c r="AW283" i="4"/>
  <c r="AX283" i="4"/>
  <c r="BC283" i="4"/>
  <c r="BD283" i="4"/>
  <c r="BF283" i="4"/>
  <c r="BH283" i="4"/>
  <c r="BI283" i="4"/>
  <c r="BJ283" i="4"/>
  <c r="I286" i="4"/>
  <c r="J286" i="4"/>
  <c r="K286" i="4"/>
  <c r="L286" i="4"/>
  <c r="AS286" i="4"/>
  <c r="AT286" i="4"/>
  <c r="AU286" i="4"/>
  <c r="I287" i="4"/>
  <c r="J287" i="4"/>
  <c r="K287" i="4"/>
  <c r="L287" i="4"/>
  <c r="Z287" i="4"/>
  <c r="AB287" i="4"/>
  <c r="AC287" i="4"/>
  <c r="AD287" i="4"/>
  <c r="AE287" i="4"/>
  <c r="AF287" i="4"/>
  <c r="AG287" i="4"/>
  <c r="AH287" i="4"/>
  <c r="AJ287" i="4"/>
  <c r="AK287" i="4"/>
  <c r="AL287" i="4"/>
  <c r="AO287" i="4"/>
  <c r="AP287" i="4"/>
  <c r="AV287" i="4"/>
  <c r="AW287" i="4"/>
  <c r="AX287" i="4"/>
  <c r="BC287" i="4"/>
  <c r="BD287" i="4"/>
  <c r="BF287" i="4"/>
  <c r="BH287" i="4"/>
  <c r="BI287" i="4"/>
  <c r="BJ287" i="4"/>
  <c r="I290" i="4"/>
  <c r="J290" i="4"/>
  <c r="K290" i="4"/>
  <c r="L290" i="4"/>
  <c r="Z290" i="4"/>
  <c r="AB290" i="4"/>
  <c r="AC290" i="4"/>
  <c r="AD290" i="4"/>
  <c r="AE290" i="4"/>
  <c r="AF290" i="4"/>
  <c r="AG290" i="4"/>
  <c r="AH290" i="4"/>
  <c r="AJ290" i="4"/>
  <c r="AK290" i="4"/>
  <c r="AL290" i="4"/>
  <c r="AO290" i="4"/>
  <c r="AP290" i="4"/>
  <c r="AV290" i="4"/>
  <c r="AW290" i="4"/>
  <c r="AX290" i="4"/>
  <c r="BC290" i="4"/>
  <c r="BD290" i="4"/>
  <c r="BF290" i="4"/>
  <c r="BH290" i="4"/>
  <c r="BI290" i="4"/>
  <c r="BJ290" i="4"/>
  <c r="I294" i="4"/>
  <c r="J294" i="4"/>
  <c r="K294" i="4"/>
  <c r="L294" i="4"/>
  <c r="Z294" i="4"/>
  <c r="AB294" i="4"/>
  <c r="AC294" i="4"/>
  <c r="AD294" i="4"/>
  <c r="AE294" i="4"/>
  <c r="AF294" i="4"/>
  <c r="AG294" i="4"/>
  <c r="AH294" i="4"/>
  <c r="AJ294" i="4"/>
  <c r="AK294" i="4"/>
  <c r="AL294" i="4"/>
  <c r="AO294" i="4"/>
  <c r="AP294" i="4"/>
  <c r="AV294" i="4"/>
  <c r="AW294" i="4"/>
  <c r="AX294" i="4"/>
  <c r="BC294" i="4"/>
  <c r="BD294" i="4"/>
  <c r="BF294" i="4"/>
  <c r="BH294" i="4"/>
  <c r="BI294" i="4"/>
  <c r="BJ294" i="4"/>
  <c r="I298" i="4"/>
  <c r="J298" i="4"/>
  <c r="K298" i="4"/>
  <c r="L298" i="4"/>
  <c r="Z298" i="4"/>
  <c r="AB298" i="4"/>
  <c r="AC298" i="4"/>
  <c r="AD298" i="4"/>
  <c r="AE298" i="4"/>
  <c r="AF298" i="4"/>
  <c r="AG298" i="4"/>
  <c r="AH298" i="4"/>
  <c r="AJ298" i="4"/>
  <c r="AK298" i="4"/>
  <c r="AL298" i="4"/>
  <c r="AO298" i="4"/>
  <c r="AP298" i="4"/>
  <c r="AV298" i="4"/>
  <c r="AW298" i="4"/>
  <c r="AX298" i="4"/>
  <c r="BC298" i="4"/>
  <c r="BD298" i="4"/>
  <c r="BF298" i="4"/>
  <c r="BH298" i="4"/>
  <c r="BI298" i="4"/>
  <c r="BJ298" i="4"/>
  <c r="I300" i="4"/>
  <c r="J300" i="4"/>
  <c r="K300" i="4"/>
  <c r="L300" i="4"/>
  <c r="Z300" i="4"/>
  <c r="AB300" i="4"/>
  <c r="AC300" i="4"/>
  <c r="AD300" i="4"/>
  <c r="AE300" i="4"/>
  <c r="AF300" i="4"/>
  <c r="AG300" i="4"/>
  <c r="AH300" i="4"/>
  <c r="AJ300" i="4"/>
  <c r="AK300" i="4"/>
  <c r="AL300" i="4"/>
  <c r="AO300" i="4"/>
  <c r="AP300" i="4"/>
  <c r="AV300" i="4"/>
  <c r="AW300" i="4"/>
  <c r="AX300" i="4"/>
  <c r="BC300" i="4"/>
  <c r="BD300" i="4"/>
  <c r="BF300" i="4"/>
  <c r="BH300" i="4"/>
  <c r="BI300" i="4"/>
  <c r="BJ300" i="4"/>
  <c r="I305" i="4"/>
  <c r="J305" i="4"/>
  <c r="K305" i="4"/>
  <c r="L305" i="4"/>
  <c r="Z305" i="4"/>
  <c r="AB305" i="4"/>
  <c r="AC305" i="4"/>
  <c r="AD305" i="4"/>
  <c r="AE305" i="4"/>
  <c r="AF305" i="4"/>
  <c r="AG305" i="4"/>
  <c r="AH305" i="4"/>
  <c r="AJ305" i="4"/>
  <c r="AK305" i="4"/>
  <c r="AL305" i="4"/>
  <c r="AO305" i="4"/>
  <c r="AP305" i="4"/>
  <c r="AV305" i="4"/>
  <c r="AW305" i="4"/>
  <c r="AX305" i="4"/>
  <c r="BC305" i="4"/>
  <c r="BD305" i="4"/>
  <c r="BF305" i="4"/>
  <c r="BH305" i="4"/>
  <c r="BI305" i="4"/>
  <c r="BJ305" i="4"/>
  <c r="I308" i="4"/>
  <c r="J308" i="4"/>
  <c r="K308" i="4"/>
  <c r="L308" i="4"/>
  <c r="Z308" i="4"/>
  <c r="AB308" i="4"/>
  <c r="AC308" i="4"/>
  <c r="AD308" i="4"/>
  <c r="AE308" i="4"/>
  <c r="AF308" i="4"/>
  <c r="AG308" i="4"/>
  <c r="AH308" i="4"/>
  <c r="AJ308" i="4"/>
  <c r="AK308" i="4"/>
  <c r="AL308" i="4"/>
  <c r="AO308" i="4"/>
  <c r="AP308" i="4"/>
  <c r="AV308" i="4"/>
  <c r="AW308" i="4"/>
  <c r="AX308" i="4"/>
  <c r="BC308" i="4"/>
  <c r="BD308" i="4"/>
  <c r="BF308" i="4"/>
  <c r="BH308" i="4"/>
  <c r="BI308" i="4"/>
  <c r="BJ308" i="4"/>
  <c r="I311" i="4"/>
  <c r="J311" i="4"/>
  <c r="K311" i="4"/>
  <c r="L311" i="4"/>
  <c r="Z311" i="4"/>
  <c r="AB311" i="4"/>
  <c r="AC311" i="4"/>
  <c r="AD311" i="4"/>
  <c r="AE311" i="4"/>
  <c r="AF311" i="4"/>
  <c r="AG311" i="4"/>
  <c r="AH311" i="4"/>
  <c r="AJ311" i="4"/>
  <c r="AK311" i="4"/>
  <c r="AL311" i="4"/>
  <c r="AO311" i="4"/>
  <c r="AP311" i="4"/>
  <c r="AV311" i="4"/>
  <c r="AW311" i="4"/>
  <c r="AX311" i="4"/>
  <c r="BC311" i="4"/>
  <c r="BD311" i="4"/>
  <c r="BF311" i="4"/>
  <c r="BH311" i="4"/>
  <c r="BI311" i="4"/>
  <c r="BJ311" i="4"/>
  <c r="I314" i="4"/>
  <c r="J314" i="4"/>
  <c r="K314" i="4"/>
  <c r="L314" i="4"/>
  <c r="AS314" i="4"/>
  <c r="AT314" i="4"/>
  <c r="AU314" i="4"/>
  <c r="I315" i="4"/>
  <c r="J315" i="4"/>
  <c r="K315" i="4"/>
  <c r="L315" i="4"/>
  <c r="Z315" i="4"/>
  <c r="AB315" i="4"/>
  <c r="AC315" i="4"/>
  <c r="AD315" i="4"/>
  <c r="AE315" i="4"/>
  <c r="AF315" i="4"/>
  <c r="AG315" i="4"/>
  <c r="AH315" i="4"/>
  <c r="AJ315" i="4"/>
  <c r="AK315" i="4"/>
  <c r="AL315" i="4"/>
  <c r="AO315" i="4"/>
  <c r="AP315" i="4"/>
  <c r="AV315" i="4"/>
  <c r="AW315" i="4"/>
  <c r="AX315" i="4"/>
  <c r="BC315" i="4"/>
  <c r="BD315" i="4"/>
  <c r="BF315" i="4"/>
  <c r="BH315" i="4"/>
  <c r="BI315" i="4"/>
  <c r="BJ315" i="4"/>
  <c r="I317" i="4"/>
  <c r="J317" i="4"/>
  <c r="K317" i="4"/>
  <c r="L317" i="4"/>
  <c r="AS317" i="4"/>
  <c r="AT317" i="4"/>
  <c r="AU317" i="4"/>
  <c r="I318" i="4"/>
  <c r="J318" i="4"/>
  <c r="K318" i="4"/>
  <c r="L318" i="4"/>
  <c r="Z318" i="4"/>
  <c r="AB318" i="4"/>
  <c r="AC318" i="4"/>
  <c r="AD318" i="4"/>
  <c r="AE318" i="4"/>
  <c r="AF318" i="4"/>
  <c r="AG318" i="4"/>
  <c r="AH318" i="4"/>
  <c r="AJ318" i="4"/>
  <c r="AK318" i="4"/>
  <c r="AL318" i="4"/>
  <c r="AO318" i="4"/>
  <c r="AP318" i="4"/>
  <c r="AV318" i="4"/>
  <c r="AW318" i="4"/>
  <c r="AX318" i="4"/>
  <c r="BC318" i="4"/>
  <c r="BD318" i="4"/>
  <c r="BF318" i="4"/>
  <c r="BH318" i="4"/>
  <c r="BI318" i="4"/>
  <c r="BJ318" i="4"/>
  <c r="I327" i="4"/>
  <c r="J327" i="4"/>
  <c r="K327" i="4"/>
  <c r="L327" i="4"/>
  <c r="Z327" i="4"/>
  <c r="AB327" i="4"/>
  <c r="AC327" i="4"/>
  <c r="AD327" i="4"/>
  <c r="AE327" i="4"/>
  <c r="AF327" i="4"/>
  <c r="AG327" i="4"/>
  <c r="AH327" i="4"/>
  <c r="AJ327" i="4"/>
  <c r="AK327" i="4"/>
  <c r="AL327" i="4"/>
  <c r="AO327" i="4"/>
  <c r="AP327" i="4"/>
  <c r="AV327" i="4"/>
  <c r="AW327" i="4"/>
  <c r="AX327" i="4"/>
  <c r="BC327" i="4"/>
  <c r="BD327" i="4"/>
  <c r="BF327" i="4"/>
  <c r="BH327" i="4"/>
  <c r="BI327" i="4"/>
  <c r="BJ327" i="4"/>
  <c r="I329" i="4"/>
  <c r="J329" i="4"/>
  <c r="K329" i="4"/>
  <c r="L329" i="4"/>
  <c r="Z329" i="4"/>
  <c r="AB329" i="4"/>
  <c r="AC329" i="4"/>
  <c r="AD329" i="4"/>
  <c r="AE329" i="4"/>
  <c r="AF329" i="4"/>
  <c r="AG329" i="4"/>
  <c r="AH329" i="4"/>
  <c r="AJ329" i="4"/>
  <c r="AK329" i="4"/>
  <c r="AL329" i="4"/>
  <c r="AO329" i="4"/>
  <c r="AP329" i="4"/>
  <c r="AV329" i="4"/>
  <c r="AW329" i="4"/>
  <c r="AX329" i="4"/>
  <c r="BC329" i="4"/>
  <c r="BD329" i="4"/>
  <c r="BF329" i="4"/>
  <c r="BH329" i="4"/>
  <c r="BI329" i="4"/>
  <c r="BJ329" i="4"/>
  <c r="I330" i="4"/>
  <c r="J330" i="4"/>
  <c r="K330" i="4"/>
  <c r="L330" i="4"/>
  <c r="Z330" i="4"/>
  <c r="AB330" i="4"/>
  <c r="AC330" i="4"/>
  <c r="AD330" i="4"/>
  <c r="AE330" i="4"/>
  <c r="AF330" i="4"/>
  <c r="AG330" i="4"/>
  <c r="AH330" i="4"/>
  <c r="AJ330" i="4"/>
  <c r="AK330" i="4"/>
  <c r="AL330" i="4"/>
  <c r="AO330" i="4"/>
  <c r="AP330" i="4"/>
  <c r="AV330" i="4"/>
  <c r="AW330" i="4"/>
  <c r="AX330" i="4"/>
  <c r="BC330" i="4"/>
  <c r="BD330" i="4"/>
  <c r="BF330" i="4"/>
  <c r="BH330" i="4"/>
  <c r="BI330" i="4"/>
  <c r="BJ330" i="4"/>
  <c r="I332" i="4"/>
  <c r="J332" i="4"/>
  <c r="K332" i="4"/>
  <c r="L332" i="4"/>
  <c r="Z332" i="4"/>
  <c r="AB332" i="4"/>
  <c r="AC332" i="4"/>
  <c r="AD332" i="4"/>
  <c r="AE332" i="4"/>
  <c r="AF332" i="4"/>
  <c r="AG332" i="4"/>
  <c r="AH332" i="4"/>
  <c r="AJ332" i="4"/>
  <c r="AK332" i="4"/>
  <c r="AL332" i="4"/>
  <c r="AO332" i="4"/>
  <c r="AP332" i="4"/>
  <c r="AV332" i="4"/>
  <c r="AW332" i="4"/>
  <c r="AX332" i="4"/>
  <c r="BC332" i="4"/>
  <c r="BD332" i="4"/>
  <c r="BF332" i="4"/>
  <c r="BH332" i="4"/>
  <c r="BI332" i="4"/>
  <c r="BJ332" i="4"/>
  <c r="I335" i="4"/>
  <c r="J335" i="4"/>
  <c r="K335" i="4"/>
  <c r="L335" i="4"/>
  <c r="Z335" i="4"/>
  <c r="AB335" i="4"/>
  <c r="AC335" i="4"/>
  <c r="AD335" i="4"/>
  <c r="AE335" i="4"/>
  <c r="AF335" i="4"/>
  <c r="AG335" i="4"/>
  <c r="AH335" i="4"/>
  <c r="AJ335" i="4"/>
  <c r="AK335" i="4"/>
  <c r="AL335" i="4"/>
  <c r="AO335" i="4"/>
  <c r="AP335" i="4"/>
  <c r="AV335" i="4"/>
  <c r="AW335" i="4"/>
  <c r="AX335" i="4"/>
  <c r="BC335" i="4"/>
  <c r="BD335" i="4"/>
  <c r="BF335" i="4"/>
  <c r="BH335" i="4"/>
  <c r="BI335" i="4"/>
  <c r="BJ335" i="4"/>
  <c r="I337" i="4"/>
  <c r="J337" i="4"/>
  <c r="K337" i="4"/>
  <c r="L337" i="4"/>
  <c r="Z337" i="4"/>
  <c r="AB337" i="4"/>
  <c r="AC337" i="4"/>
  <c r="AD337" i="4"/>
  <c r="AE337" i="4"/>
  <c r="AF337" i="4"/>
  <c r="AG337" i="4"/>
  <c r="AH337" i="4"/>
  <c r="AJ337" i="4"/>
  <c r="AK337" i="4"/>
  <c r="AL337" i="4"/>
  <c r="AO337" i="4"/>
  <c r="AP337" i="4"/>
  <c r="AV337" i="4"/>
  <c r="AW337" i="4"/>
  <c r="AX337" i="4"/>
  <c r="BC337" i="4"/>
  <c r="BD337" i="4"/>
  <c r="BF337" i="4"/>
  <c r="BH337" i="4"/>
  <c r="BI337" i="4"/>
  <c r="BJ337" i="4"/>
  <c r="I338" i="4"/>
  <c r="J338" i="4"/>
  <c r="K338" i="4"/>
  <c r="L338" i="4"/>
  <c r="Z338" i="4"/>
  <c r="AB338" i="4"/>
  <c r="AC338" i="4"/>
  <c r="AD338" i="4"/>
  <c r="AE338" i="4"/>
  <c r="AF338" i="4"/>
  <c r="AG338" i="4"/>
  <c r="AH338" i="4"/>
  <c r="AJ338" i="4"/>
  <c r="AK338" i="4"/>
  <c r="AL338" i="4"/>
  <c r="AO338" i="4"/>
  <c r="AP338" i="4"/>
  <c r="AV338" i="4"/>
  <c r="AW338" i="4"/>
  <c r="AX338" i="4"/>
  <c r="BC338" i="4"/>
  <c r="BD338" i="4"/>
  <c r="BF338" i="4"/>
  <c r="BH338" i="4"/>
  <c r="BI338" i="4"/>
  <c r="BJ338" i="4"/>
  <c r="I339" i="4"/>
  <c r="J339" i="4"/>
  <c r="K339" i="4"/>
  <c r="L339" i="4"/>
  <c r="AS339" i="4"/>
  <c r="AT339" i="4"/>
  <c r="AU339" i="4"/>
  <c r="I340" i="4"/>
  <c r="J340" i="4"/>
  <c r="K340" i="4"/>
  <c r="L340" i="4"/>
  <c r="Z340" i="4"/>
  <c r="AB340" i="4"/>
  <c r="AC340" i="4"/>
  <c r="AD340" i="4"/>
  <c r="AE340" i="4"/>
  <c r="AF340" i="4"/>
  <c r="AG340" i="4"/>
  <c r="AH340" i="4"/>
  <c r="AJ340" i="4"/>
  <c r="AK340" i="4"/>
  <c r="AL340" i="4"/>
  <c r="AO340" i="4"/>
  <c r="AP340" i="4"/>
  <c r="AV340" i="4"/>
  <c r="AW340" i="4"/>
  <c r="AX340" i="4"/>
  <c r="BC340" i="4"/>
  <c r="BD340" i="4"/>
  <c r="BF340" i="4"/>
  <c r="BH340" i="4"/>
  <c r="BI340" i="4"/>
  <c r="BJ340" i="4"/>
  <c r="I342" i="4"/>
  <c r="J342" i="4"/>
  <c r="K342" i="4"/>
  <c r="L342" i="4"/>
  <c r="Z342" i="4"/>
  <c r="AB342" i="4"/>
  <c r="AC342" i="4"/>
  <c r="AD342" i="4"/>
  <c r="AE342" i="4"/>
  <c r="AF342" i="4"/>
  <c r="AG342" i="4"/>
  <c r="AH342" i="4"/>
  <c r="AJ342" i="4"/>
  <c r="AK342" i="4"/>
  <c r="AL342" i="4"/>
  <c r="AO342" i="4"/>
  <c r="AP342" i="4"/>
  <c r="AV342" i="4"/>
  <c r="AW342" i="4"/>
  <c r="AX342" i="4"/>
  <c r="BC342" i="4"/>
  <c r="BD342" i="4"/>
  <c r="BF342" i="4"/>
  <c r="BH342" i="4"/>
  <c r="BI342" i="4"/>
  <c r="BJ342" i="4"/>
  <c r="I344" i="4"/>
  <c r="J344" i="4"/>
  <c r="K344" i="4"/>
  <c r="L344" i="4"/>
  <c r="Z344" i="4"/>
  <c r="AB344" i="4"/>
  <c r="AC344" i="4"/>
  <c r="AD344" i="4"/>
  <c r="AE344" i="4"/>
  <c r="AF344" i="4"/>
  <c r="AG344" i="4"/>
  <c r="AH344" i="4"/>
  <c r="AJ344" i="4"/>
  <c r="AK344" i="4"/>
  <c r="AL344" i="4"/>
  <c r="AO344" i="4"/>
  <c r="AP344" i="4"/>
  <c r="AV344" i="4"/>
  <c r="AW344" i="4"/>
  <c r="AX344" i="4"/>
  <c r="BC344" i="4"/>
  <c r="BD344" i="4"/>
  <c r="BF344" i="4"/>
  <c r="BH344" i="4"/>
  <c r="BI344" i="4"/>
  <c r="BJ344" i="4"/>
  <c r="I346" i="4"/>
  <c r="J346" i="4"/>
  <c r="K346" i="4"/>
  <c r="L346" i="4"/>
  <c r="Z346" i="4"/>
  <c r="AB346" i="4"/>
  <c r="AC346" i="4"/>
  <c r="AD346" i="4"/>
  <c r="AE346" i="4"/>
  <c r="AF346" i="4"/>
  <c r="AG346" i="4"/>
  <c r="AH346" i="4"/>
  <c r="AJ346" i="4"/>
  <c r="AK346" i="4"/>
  <c r="AL346" i="4"/>
  <c r="AO346" i="4"/>
  <c r="AP346" i="4"/>
  <c r="AV346" i="4"/>
  <c r="AW346" i="4"/>
  <c r="AX346" i="4"/>
  <c r="BC346" i="4"/>
  <c r="BD346" i="4"/>
  <c r="BF346" i="4"/>
  <c r="BH346" i="4"/>
  <c r="BI346" i="4"/>
  <c r="BJ346" i="4"/>
  <c r="I348" i="4"/>
  <c r="J348" i="4"/>
  <c r="K348" i="4"/>
  <c r="L348" i="4"/>
  <c r="Z348" i="4"/>
  <c r="AB348" i="4"/>
  <c r="AC348" i="4"/>
  <c r="AD348" i="4"/>
  <c r="AE348" i="4"/>
  <c r="AF348" i="4"/>
  <c r="AG348" i="4"/>
  <c r="AH348" i="4"/>
  <c r="AJ348" i="4"/>
  <c r="AK348" i="4"/>
  <c r="AL348" i="4"/>
  <c r="AO348" i="4"/>
  <c r="AP348" i="4"/>
  <c r="AV348" i="4"/>
  <c r="AW348" i="4"/>
  <c r="AX348" i="4"/>
  <c r="BC348" i="4"/>
  <c r="BD348" i="4"/>
  <c r="BF348" i="4"/>
  <c r="BH348" i="4"/>
  <c r="BI348" i="4"/>
  <c r="BJ348" i="4"/>
  <c r="I350" i="4"/>
  <c r="J350" i="4"/>
  <c r="K350" i="4"/>
  <c r="L350" i="4"/>
  <c r="Z350" i="4"/>
  <c r="AB350" i="4"/>
  <c r="AC350" i="4"/>
  <c r="AD350" i="4"/>
  <c r="AE350" i="4"/>
  <c r="AF350" i="4"/>
  <c r="AG350" i="4"/>
  <c r="AH350" i="4"/>
  <c r="AJ350" i="4"/>
  <c r="AK350" i="4"/>
  <c r="AL350" i="4"/>
  <c r="AO350" i="4"/>
  <c r="AP350" i="4"/>
  <c r="AV350" i="4"/>
  <c r="AW350" i="4"/>
  <c r="AX350" i="4"/>
  <c r="BC350" i="4"/>
  <c r="BD350" i="4"/>
  <c r="BF350" i="4"/>
  <c r="BH350" i="4"/>
  <c r="BI350" i="4"/>
  <c r="BJ350" i="4"/>
  <c r="I352" i="4"/>
  <c r="J352" i="4"/>
  <c r="K352" i="4"/>
  <c r="L352" i="4"/>
  <c r="Z352" i="4"/>
  <c r="AB352" i="4"/>
  <c r="AC352" i="4"/>
  <c r="AD352" i="4"/>
  <c r="AE352" i="4"/>
  <c r="AF352" i="4"/>
  <c r="AG352" i="4"/>
  <c r="AH352" i="4"/>
  <c r="AJ352" i="4"/>
  <c r="AK352" i="4"/>
  <c r="AL352" i="4"/>
  <c r="AO352" i="4"/>
  <c r="AP352" i="4"/>
  <c r="AV352" i="4"/>
  <c r="AW352" i="4"/>
  <c r="AX352" i="4"/>
  <c r="BC352" i="4"/>
  <c r="BD352" i="4"/>
  <c r="BF352" i="4"/>
  <c r="BH352" i="4"/>
  <c r="BI352" i="4"/>
  <c r="BJ352" i="4"/>
  <c r="I354" i="4"/>
  <c r="J354" i="4"/>
  <c r="K354" i="4"/>
  <c r="L354" i="4"/>
  <c r="Z354" i="4"/>
  <c r="AB354" i="4"/>
  <c r="AC354" i="4"/>
  <c r="AD354" i="4"/>
  <c r="AE354" i="4"/>
  <c r="AF354" i="4"/>
  <c r="AG354" i="4"/>
  <c r="AH354" i="4"/>
  <c r="AJ354" i="4"/>
  <c r="AK354" i="4"/>
  <c r="AL354" i="4"/>
  <c r="AO354" i="4"/>
  <c r="AP354" i="4"/>
  <c r="AV354" i="4"/>
  <c r="AW354" i="4"/>
  <c r="AX354" i="4"/>
  <c r="BC354" i="4"/>
  <c r="BD354" i="4"/>
  <c r="BF354" i="4"/>
  <c r="BH354" i="4"/>
  <c r="BI354" i="4"/>
  <c r="BJ354" i="4"/>
  <c r="I356" i="4"/>
  <c r="J356" i="4"/>
  <c r="K356" i="4"/>
  <c r="L356" i="4"/>
  <c r="Z356" i="4"/>
  <c r="AB356" i="4"/>
  <c r="AC356" i="4"/>
  <c r="AD356" i="4"/>
  <c r="AE356" i="4"/>
  <c r="AF356" i="4"/>
  <c r="AG356" i="4"/>
  <c r="AH356" i="4"/>
  <c r="AJ356" i="4"/>
  <c r="AK356" i="4"/>
  <c r="AL356" i="4"/>
  <c r="AO356" i="4"/>
  <c r="AP356" i="4"/>
  <c r="AV356" i="4"/>
  <c r="AW356" i="4"/>
  <c r="AX356" i="4"/>
  <c r="BC356" i="4"/>
  <c r="BD356" i="4"/>
  <c r="BF356" i="4"/>
  <c r="BH356" i="4"/>
  <c r="BI356" i="4"/>
  <c r="BJ356" i="4"/>
  <c r="I359" i="4"/>
  <c r="J359" i="4"/>
  <c r="K359" i="4"/>
  <c r="L359" i="4"/>
  <c r="Z359" i="4"/>
  <c r="AB359" i="4"/>
  <c r="AC359" i="4"/>
  <c r="AD359" i="4"/>
  <c r="AE359" i="4"/>
  <c r="AF359" i="4"/>
  <c r="AG359" i="4"/>
  <c r="AH359" i="4"/>
  <c r="AJ359" i="4"/>
  <c r="AK359" i="4"/>
  <c r="AL359" i="4"/>
  <c r="AO359" i="4"/>
  <c r="AP359" i="4"/>
  <c r="AV359" i="4"/>
  <c r="AW359" i="4"/>
  <c r="AX359" i="4"/>
  <c r="BC359" i="4"/>
  <c r="BD359" i="4"/>
  <c r="BF359" i="4"/>
  <c r="BH359" i="4"/>
  <c r="BI359" i="4"/>
  <c r="BJ359" i="4"/>
  <c r="I362" i="4"/>
  <c r="J362" i="4"/>
  <c r="K362" i="4"/>
  <c r="L362" i="4"/>
  <c r="Z362" i="4"/>
  <c r="AB362" i="4"/>
  <c r="AC362" i="4"/>
  <c r="AD362" i="4"/>
  <c r="AE362" i="4"/>
  <c r="AF362" i="4"/>
  <c r="AG362" i="4"/>
  <c r="AH362" i="4"/>
  <c r="AJ362" i="4"/>
  <c r="AK362" i="4"/>
  <c r="AL362" i="4"/>
  <c r="AO362" i="4"/>
  <c r="AP362" i="4"/>
  <c r="AV362" i="4"/>
  <c r="AW362" i="4"/>
  <c r="AX362" i="4"/>
  <c r="BC362" i="4"/>
  <c r="BD362" i="4"/>
  <c r="BF362" i="4"/>
  <c r="BH362" i="4"/>
  <c r="BI362" i="4"/>
  <c r="BJ362" i="4"/>
  <c r="I364" i="4"/>
  <c r="J364" i="4"/>
  <c r="K364" i="4"/>
  <c r="L364" i="4"/>
  <c r="AS364" i="4"/>
  <c r="AT364" i="4"/>
  <c r="AU364" i="4"/>
  <c r="I365" i="4"/>
  <c r="J365" i="4"/>
  <c r="K365" i="4"/>
  <c r="L365" i="4"/>
  <c r="Z365" i="4"/>
  <c r="AB365" i="4"/>
  <c r="AC365" i="4"/>
  <c r="AD365" i="4"/>
  <c r="AE365" i="4"/>
  <c r="AF365" i="4"/>
  <c r="AG365" i="4"/>
  <c r="AH365" i="4"/>
  <c r="AJ365" i="4"/>
  <c r="AK365" i="4"/>
  <c r="AL365" i="4"/>
  <c r="AO365" i="4"/>
  <c r="AP365" i="4"/>
  <c r="AV365" i="4"/>
  <c r="AW365" i="4"/>
  <c r="AX365" i="4"/>
  <c r="BC365" i="4"/>
  <c r="BD365" i="4"/>
  <c r="BF365" i="4"/>
  <c r="BH365" i="4"/>
  <c r="BI365" i="4"/>
  <c r="BJ365" i="4"/>
  <c r="I367" i="4"/>
  <c r="J367" i="4"/>
  <c r="K367" i="4"/>
  <c r="L367" i="4"/>
  <c r="Z367" i="4"/>
  <c r="AB367" i="4"/>
  <c r="AC367" i="4"/>
  <c r="AD367" i="4"/>
  <c r="AE367" i="4"/>
  <c r="AF367" i="4"/>
  <c r="AG367" i="4"/>
  <c r="AH367" i="4"/>
  <c r="AJ367" i="4"/>
  <c r="AK367" i="4"/>
  <c r="AL367" i="4"/>
  <c r="AO367" i="4"/>
  <c r="AP367" i="4"/>
  <c r="AV367" i="4"/>
  <c r="AW367" i="4"/>
  <c r="AX367" i="4"/>
  <c r="BC367" i="4"/>
  <c r="BD367" i="4"/>
  <c r="BF367" i="4"/>
  <c r="BH367" i="4"/>
  <c r="BI367" i="4"/>
  <c r="BJ367" i="4"/>
  <c r="I369" i="4"/>
  <c r="J369" i="4"/>
  <c r="K369" i="4"/>
  <c r="L369" i="4"/>
  <c r="Z369" i="4"/>
  <c r="AB369" i="4"/>
  <c r="AC369" i="4"/>
  <c r="AD369" i="4"/>
  <c r="AE369" i="4"/>
  <c r="AF369" i="4"/>
  <c r="AG369" i="4"/>
  <c r="AH369" i="4"/>
  <c r="AJ369" i="4"/>
  <c r="AK369" i="4"/>
  <c r="AL369" i="4"/>
  <c r="AO369" i="4"/>
  <c r="AP369" i="4"/>
  <c r="AV369" i="4"/>
  <c r="AW369" i="4"/>
  <c r="AX369" i="4"/>
  <c r="BC369" i="4"/>
  <c r="BD369" i="4"/>
  <c r="BF369" i="4"/>
  <c r="BH369" i="4"/>
  <c r="BI369" i="4"/>
  <c r="BJ369" i="4"/>
  <c r="I371" i="4"/>
  <c r="J371" i="4"/>
  <c r="K371" i="4"/>
  <c r="L371" i="4"/>
  <c r="Z371" i="4"/>
  <c r="AB371" i="4"/>
  <c r="AC371" i="4"/>
  <c r="AD371" i="4"/>
  <c r="AE371" i="4"/>
  <c r="AF371" i="4"/>
  <c r="AG371" i="4"/>
  <c r="AH371" i="4"/>
  <c r="AJ371" i="4"/>
  <c r="AK371" i="4"/>
  <c r="AL371" i="4"/>
  <c r="AO371" i="4"/>
  <c r="AP371" i="4"/>
  <c r="AV371" i="4"/>
  <c r="AW371" i="4"/>
  <c r="AX371" i="4"/>
  <c r="BC371" i="4"/>
  <c r="BD371" i="4"/>
  <c r="BF371" i="4"/>
  <c r="BH371" i="4"/>
  <c r="BI371" i="4"/>
  <c r="BJ371" i="4"/>
  <c r="I373" i="4"/>
  <c r="J373" i="4"/>
  <c r="K373" i="4"/>
  <c r="L373" i="4"/>
  <c r="Z373" i="4"/>
  <c r="AB373" i="4"/>
  <c r="AC373" i="4"/>
  <c r="AD373" i="4"/>
  <c r="AE373" i="4"/>
  <c r="AF373" i="4"/>
  <c r="AG373" i="4"/>
  <c r="AH373" i="4"/>
  <c r="AJ373" i="4"/>
  <c r="AK373" i="4"/>
  <c r="AL373" i="4"/>
  <c r="AO373" i="4"/>
  <c r="AP373" i="4"/>
  <c r="AV373" i="4"/>
  <c r="AW373" i="4"/>
  <c r="AX373" i="4"/>
  <c r="BC373" i="4"/>
  <c r="BD373" i="4"/>
  <c r="BF373" i="4"/>
  <c r="BH373" i="4"/>
  <c r="BI373" i="4"/>
  <c r="BJ373" i="4"/>
  <c r="I376" i="4"/>
  <c r="J376" i="4"/>
  <c r="K376" i="4"/>
  <c r="L376" i="4"/>
  <c r="Z376" i="4"/>
  <c r="AB376" i="4"/>
  <c r="AC376" i="4"/>
  <c r="AD376" i="4"/>
  <c r="AE376" i="4"/>
  <c r="AF376" i="4"/>
  <c r="AG376" i="4"/>
  <c r="AH376" i="4"/>
  <c r="AJ376" i="4"/>
  <c r="AK376" i="4"/>
  <c r="AL376" i="4"/>
  <c r="AO376" i="4"/>
  <c r="AP376" i="4"/>
  <c r="AV376" i="4"/>
  <c r="AW376" i="4"/>
  <c r="AX376" i="4"/>
  <c r="BC376" i="4"/>
  <c r="BD376" i="4"/>
  <c r="BF376" i="4"/>
  <c r="BH376" i="4"/>
  <c r="BI376" i="4"/>
  <c r="BJ376" i="4"/>
  <c r="I378" i="4"/>
  <c r="J378" i="4"/>
  <c r="K378" i="4"/>
  <c r="L378" i="4"/>
  <c r="Z378" i="4"/>
  <c r="AB378" i="4"/>
  <c r="AC378" i="4"/>
  <c r="AD378" i="4"/>
  <c r="AE378" i="4"/>
  <c r="AF378" i="4"/>
  <c r="AG378" i="4"/>
  <c r="AH378" i="4"/>
  <c r="AJ378" i="4"/>
  <c r="AK378" i="4"/>
  <c r="AL378" i="4"/>
  <c r="AO378" i="4"/>
  <c r="AP378" i="4"/>
  <c r="AV378" i="4"/>
  <c r="AW378" i="4"/>
  <c r="AX378" i="4"/>
  <c r="BC378" i="4"/>
  <c r="BD378" i="4"/>
  <c r="BF378" i="4"/>
  <c r="BH378" i="4"/>
  <c r="BI378" i="4"/>
  <c r="BJ378" i="4"/>
  <c r="I381" i="4"/>
  <c r="J381" i="4"/>
  <c r="K381" i="4"/>
  <c r="L381" i="4"/>
  <c r="Z381" i="4"/>
  <c r="AB381" i="4"/>
  <c r="AC381" i="4"/>
  <c r="AD381" i="4"/>
  <c r="AE381" i="4"/>
  <c r="AF381" i="4"/>
  <c r="AG381" i="4"/>
  <c r="AH381" i="4"/>
  <c r="AJ381" i="4"/>
  <c r="AK381" i="4"/>
  <c r="AL381" i="4"/>
  <c r="AO381" i="4"/>
  <c r="AP381" i="4"/>
  <c r="AV381" i="4"/>
  <c r="AW381" i="4"/>
  <c r="AX381" i="4"/>
  <c r="BC381" i="4"/>
  <c r="BD381" i="4"/>
  <c r="BF381" i="4"/>
  <c r="BH381" i="4"/>
  <c r="BI381" i="4"/>
  <c r="BJ381" i="4"/>
  <c r="I385" i="4"/>
  <c r="J385" i="4"/>
  <c r="K385" i="4"/>
  <c r="L385" i="4"/>
  <c r="Z385" i="4"/>
  <c r="AB385" i="4"/>
  <c r="AC385" i="4"/>
  <c r="AD385" i="4"/>
  <c r="AE385" i="4"/>
  <c r="AF385" i="4"/>
  <c r="AG385" i="4"/>
  <c r="AH385" i="4"/>
  <c r="AJ385" i="4"/>
  <c r="AK385" i="4"/>
  <c r="AL385" i="4"/>
  <c r="AO385" i="4"/>
  <c r="AP385" i="4"/>
  <c r="AV385" i="4"/>
  <c r="AW385" i="4"/>
  <c r="AX385" i="4"/>
  <c r="BC385" i="4"/>
  <c r="BD385" i="4"/>
  <c r="BF385" i="4"/>
  <c r="BH385" i="4"/>
  <c r="BI385" i="4"/>
  <c r="BJ385" i="4"/>
  <c r="I388" i="4"/>
  <c r="J388" i="4"/>
  <c r="K388" i="4"/>
  <c r="L388" i="4"/>
  <c r="Z388" i="4"/>
  <c r="AB388" i="4"/>
  <c r="AC388" i="4"/>
  <c r="AD388" i="4"/>
  <c r="AE388" i="4"/>
  <c r="AF388" i="4"/>
  <c r="AG388" i="4"/>
  <c r="AH388" i="4"/>
  <c r="AJ388" i="4"/>
  <c r="AK388" i="4"/>
  <c r="AL388" i="4"/>
  <c r="AO388" i="4"/>
  <c r="AP388" i="4"/>
  <c r="AV388" i="4"/>
  <c r="AW388" i="4"/>
  <c r="AX388" i="4"/>
  <c r="BC388" i="4"/>
  <c r="BD388" i="4"/>
  <c r="BF388" i="4"/>
  <c r="BH388" i="4"/>
  <c r="BI388" i="4"/>
  <c r="BJ388" i="4"/>
  <c r="I390" i="4"/>
  <c r="J390" i="4"/>
  <c r="K390" i="4"/>
  <c r="L390" i="4"/>
  <c r="Z390" i="4"/>
  <c r="AB390" i="4"/>
  <c r="AC390" i="4"/>
  <c r="AD390" i="4"/>
  <c r="AE390" i="4"/>
  <c r="AF390" i="4"/>
  <c r="AG390" i="4"/>
  <c r="AH390" i="4"/>
  <c r="AJ390" i="4"/>
  <c r="AK390" i="4"/>
  <c r="AL390" i="4"/>
  <c r="AO390" i="4"/>
  <c r="AP390" i="4"/>
  <c r="AV390" i="4"/>
  <c r="AW390" i="4"/>
  <c r="AX390" i="4"/>
  <c r="BC390" i="4"/>
  <c r="BD390" i="4"/>
  <c r="BF390" i="4"/>
  <c r="BH390" i="4"/>
  <c r="BI390" i="4"/>
  <c r="BJ390" i="4"/>
  <c r="I392" i="4"/>
  <c r="J392" i="4"/>
  <c r="K392" i="4"/>
  <c r="L392" i="4"/>
  <c r="Z392" i="4"/>
  <c r="AB392" i="4"/>
  <c r="AC392" i="4"/>
  <c r="AD392" i="4"/>
  <c r="AE392" i="4"/>
  <c r="AF392" i="4"/>
  <c r="AG392" i="4"/>
  <c r="AH392" i="4"/>
  <c r="AJ392" i="4"/>
  <c r="AK392" i="4"/>
  <c r="AL392" i="4"/>
  <c r="AO392" i="4"/>
  <c r="AP392" i="4"/>
  <c r="AV392" i="4"/>
  <c r="AW392" i="4"/>
  <c r="AX392" i="4"/>
  <c r="BC392" i="4"/>
  <c r="BD392" i="4"/>
  <c r="BF392" i="4"/>
  <c r="BH392" i="4"/>
  <c r="BI392" i="4"/>
  <c r="BJ392" i="4"/>
  <c r="I394" i="4"/>
  <c r="J394" i="4"/>
  <c r="K394" i="4"/>
  <c r="L394" i="4"/>
  <c r="Z394" i="4"/>
  <c r="AB394" i="4"/>
  <c r="AC394" i="4"/>
  <c r="AD394" i="4"/>
  <c r="AE394" i="4"/>
  <c r="AF394" i="4"/>
  <c r="AG394" i="4"/>
  <c r="AH394" i="4"/>
  <c r="AJ394" i="4"/>
  <c r="AK394" i="4"/>
  <c r="AL394" i="4"/>
  <c r="AO394" i="4"/>
  <c r="AP394" i="4"/>
  <c r="AV394" i="4"/>
  <c r="AW394" i="4"/>
  <c r="AX394" i="4"/>
  <c r="BC394" i="4"/>
  <c r="BD394" i="4"/>
  <c r="BF394" i="4"/>
  <c r="BH394" i="4"/>
  <c r="BI394" i="4"/>
  <c r="BJ394" i="4"/>
  <c r="I396" i="4"/>
  <c r="J396" i="4"/>
  <c r="K396" i="4"/>
  <c r="L396" i="4"/>
  <c r="AS396" i="4"/>
  <c r="AT396" i="4"/>
  <c r="AU396" i="4"/>
  <c r="I397" i="4"/>
  <c r="J397" i="4"/>
  <c r="K397" i="4"/>
  <c r="L397" i="4"/>
  <c r="Z397" i="4"/>
  <c r="AB397" i="4"/>
  <c r="AC397" i="4"/>
  <c r="AD397" i="4"/>
  <c r="AE397" i="4"/>
  <c r="AF397" i="4"/>
  <c r="AG397" i="4"/>
  <c r="AH397" i="4"/>
  <c r="AJ397" i="4"/>
  <c r="AK397" i="4"/>
  <c r="AL397" i="4"/>
  <c r="AO397" i="4"/>
  <c r="AP397" i="4"/>
  <c r="AV397" i="4"/>
  <c r="AW397" i="4"/>
  <c r="AX397" i="4"/>
  <c r="BC397" i="4"/>
  <c r="BD397" i="4"/>
  <c r="BF397" i="4"/>
  <c r="BH397" i="4"/>
  <c r="BI397" i="4"/>
  <c r="BJ397" i="4"/>
  <c r="I399" i="4"/>
  <c r="J399" i="4"/>
  <c r="K399" i="4"/>
  <c r="L399" i="4"/>
  <c r="Z399" i="4"/>
  <c r="AB399" i="4"/>
  <c r="AC399" i="4"/>
  <c r="AD399" i="4"/>
  <c r="AE399" i="4"/>
  <c r="AF399" i="4"/>
  <c r="AG399" i="4"/>
  <c r="AH399" i="4"/>
  <c r="AJ399" i="4"/>
  <c r="AK399" i="4"/>
  <c r="AL399" i="4"/>
  <c r="AO399" i="4"/>
  <c r="AP399" i="4"/>
  <c r="AV399" i="4"/>
  <c r="AW399" i="4"/>
  <c r="AX399" i="4"/>
  <c r="BC399" i="4"/>
  <c r="BD399" i="4"/>
  <c r="BF399" i="4"/>
  <c r="BH399" i="4"/>
  <c r="BI399" i="4"/>
  <c r="BJ399" i="4"/>
  <c r="I401" i="4"/>
  <c r="J401" i="4"/>
  <c r="K401" i="4"/>
  <c r="L401" i="4"/>
  <c r="AS401" i="4"/>
  <c r="AT401" i="4"/>
  <c r="AU401" i="4"/>
  <c r="I402" i="4"/>
  <c r="J402" i="4"/>
  <c r="K402" i="4"/>
  <c r="L402" i="4"/>
  <c r="Z402" i="4"/>
  <c r="AB402" i="4"/>
  <c r="AC402" i="4"/>
  <c r="AD402" i="4"/>
  <c r="AE402" i="4"/>
  <c r="AF402" i="4"/>
  <c r="AG402" i="4"/>
  <c r="AH402" i="4"/>
  <c r="AJ402" i="4"/>
  <c r="AK402" i="4"/>
  <c r="AL402" i="4"/>
  <c r="AO402" i="4"/>
  <c r="AP402" i="4"/>
  <c r="AV402" i="4"/>
  <c r="AW402" i="4"/>
  <c r="AX402" i="4"/>
  <c r="BC402" i="4"/>
  <c r="BD402" i="4"/>
  <c r="BF402" i="4"/>
  <c r="BH402" i="4"/>
  <c r="BI402" i="4"/>
  <c r="BJ402" i="4"/>
  <c r="I405" i="4"/>
  <c r="J405" i="4"/>
  <c r="K405" i="4"/>
  <c r="L405" i="4"/>
  <c r="Z405" i="4"/>
  <c r="AB405" i="4"/>
  <c r="AC405" i="4"/>
  <c r="AD405" i="4"/>
  <c r="AE405" i="4"/>
  <c r="AF405" i="4"/>
  <c r="AG405" i="4"/>
  <c r="AH405" i="4"/>
  <c r="AJ405" i="4"/>
  <c r="AK405" i="4"/>
  <c r="AL405" i="4"/>
  <c r="AO405" i="4"/>
  <c r="AP405" i="4"/>
  <c r="AV405" i="4"/>
  <c r="AW405" i="4"/>
  <c r="AX405" i="4"/>
  <c r="BC405" i="4"/>
  <c r="BD405" i="4"/>
  <c r="BF405" i="4"/>
  <c r="BH405" i="4"/>
  <c r="BI405" i="4"/>
  <c r="BJ405" i="4"/>
  <c r="I414" i="4"/>
  <c r="J414" i="4"/>
  <c r="K414" i="4"/>
  <c r="L414" i="4"/>
  <c r="AS414" i="4"/>
  <c r="AT414" i="4"/>
  <c r="AU414" i="4"/>
  <c r="I415" i="4"/>
  <c r="J415" i="4"/>
  <c r="K415" i="4"/>
  <c r="L415" i="4"/>
  <c r="Z415" i="4"/>
  <c r="AB415" i="4"/>
  <c r="AC415" i="4"/>
  <c r="AD415" i="4"/>
  <c r="AE415" i="4"/>
  <c r="AF415" i="4"/>
  <c r="AG415" i="4"/>
  <c r="AH415" i="4"/>
  <c r="AJ415" i="4"/>
  <c r="AK415" i="4"/>
  <c r="AL415" i="4"/>
  <c r="AO415" i="4"/>
  <c r="AP415" i="4"/>
  <c r="AV415" i="4"/>
  <c r="AW415" i="4"/>
  <c r="AX415" i="4"/>
  <c r="BC415" i="4"/>
  <c r="BD415" i="4"/>
  <c r="BF415" i="4"/>
  <c r="BH415" i="4"/>
  <c r="BI415" i="4"/>
  <c r="BJ415" i="4"/>
  <c r="I418" i="4"/>
  <c r="J418" i="4"/>
  <c r="K418" i="4"/>
  <c r="L418" i="4"/>
  <c r="AS418" i="4"/>
  <c r="AT418" i="4"/>
  <c r="AU418" i="4"/>
  <c r="I419" i="4"/>
  <c r="J419" i="4"/>
  <c r="K419" i="4"/>
  <c r="L419" i="4"/>
  <c r="Z419" i="4"/>
  <c r="AB419" i="4"/>
  <c r="AC419" i="4"/>
  <c r="AD419" i="4"/>
  <c r="AE419" i="4"/>
  <c r="AF419" i="4"/>
  <c r="AG419" i="4"/>
  <c r="AH419" i="4"/>
  <c r="AJ419" i="4"/>
  <c r="AK419" i="4"/>
  <c r="AL419" i="4"/>
  <c r="AO419" i="4"/>
  <c r="AP419" i="4"/>
  <c r="AV419" i="4"/>
  <c r="AW419" i="4"/>
  <c r="AX419" i="4"/>
  <c r="BC419" i="4"/>
  <c r="BD419" i="4"/>
  <c r="BF419" i="4"/>
  <c r="BH419" i="4"/>
  <c r="BI419" i="4"/>
  <c r="BJ419" i="4"/>
  <c r="I422" i="4"/>
  <c r="J422" i="4"/>
  <c r="K422" i="4"/>
  <c r="L422" i="4"/>
  <c r="Z422" i="4"/>
  <c r="AB422" i="4"/>
  <c r="AC422" i="4"/>
  <c r="AD422" i="4"/>
  <c r="AE422" i="4"/>
  <c r="AF422" i="4"/>
  <c r="AG422" i="4"/>
  <c r="AH422" i="4"/>
  <c r="AJ422" i="4"/>
  <c r="AK422" i="4"/>
  <c r="AL422" i="4"/>
  <c r="AO422" i="4"/>
  <c r="AP422" i="4"/>
  <c r="AV422" i="4"/>
  <c r="AW422" i="4"/>
  <c r="AX422" i="4"/>
  <c r="BC422" i="4"/>
  <c r="BD422" i="4"/>
  <c r="BF422" i="4"/>
  <c r="BH422" i="4"/>
  <c r="BI422" i="4"/>
  <c r="BJ422" i="4"/>
  <c r="I425" i="4"/>
  <c r="J425" i="4"/>
  <c r="K425" i="4"/>
  <c r="L425" i="4"/>
  <c r="Z425" i="4"/>
  <c r="AB425" i="4"/>
  <c r="AC425" i="4"/>
  <c r="AD425" i="4"/>
  <c r="AE425" i="4"/>
  <c r="AF425" i="4"/>
  <c r="AG425" i="4"/>
  <c r="AH425" i="4"/>
  <c r="AJ425" i="4"/>
  <c r="AK425" i="4"/>
  <c r="AL425" i="4"/>
  <c r="AO425" i="4"/>
  <c r="AP425" i="4"/>
  <c r="AV425" i="4"/>
  <c r="AW425" i="4"/>
  <c r="AX425" i="4"/>
  <c r="BC425" i="4"/>
  <c r="BD425" i="4"/>
  <c r="BF425" i="4"/>
  <c r="BH425" i="4"/>
  <c r="BI425" i="4"/>
  <c r="BJ425" i="4"/>
  <c r="I428" i="4"/>
  <c r="J428" i="4"/>
  <c r="K428" i="4"/>
  <c r="L428" i="4"/>
  <c r="Z428" i="4"/>
  <c r="AB428" i="4"/>
  <c r="AC428" i="4"/>
  <c r="AD428" i="4"/>
  <c r="AE428" i="4"/>
  <c r="AF428" i="4"/>
  <c r="AG428" i="4"/>
  <c r="AH428" i="4"/>
  <c r="AJ428" i="4"/>
  <c r="AK428" i="4"/>
  <c r="AL428" i="4"/>
  <c r="AO428" i="4"/>
  <c r="AP428" i="4"/>
  <c r="AV428" i="4"/>
  <c r="AW428" i="4"/>
  <c r="AX428" i="4"/>
  <c r="BC428" i="4"/>
  <c r="BD428" i="4"/>
  <c r="BF428" i="4"/>
  <c r="BH428" i="4"/>
  <c r="BI428" i="4"/>
  <c r="BJ428" i="4"/>
  <c r="I430" i="4"/>
  <c r="J430" i="4"/>
  <c r="K430" i="4"/>
  <c r="L430" i="4"/>
  <c r="Z430" i="4"/>
  <c r="AB430" i="4"/>
  <c r="AC430" i="4"/>
  <c r="AD430" i="4"/>
  <c r="AE430" i="4"/>
  <c r="AF430" i="4"/>
  <c r="AG430" i="4"/>
  <c r="AH430" i="4"/>
  <c r="AJ430" i="4"/>
  <c r="AK430" i="4"/>
  <c r="AL430" i="4"/>
  <c r="AO430" i="4"/>
  <c r="AP430" i="4"/>
  <c r="AV430" i="4"/>
  <c r="AW430" i="4"/>
  <c r="AX430" i="4"/>
  <c r="BC430" i="4"/>
  <c r="BD430" i="4"/>
  <c r="BF430" i="4"/>
  <c r="BH430" i="4"/>
  <c r="BI430" i="4"/>
  <c r="BJ430" i="4"/>
  <c r="I432" i="4"/>
  <c r="J432" i="4"/>
  <c r="K432" i="4"/>
  <c r="L432" i="4"/>
  <c r="Z432" i="4"/>
  <c r="AB432" i="4"/>
  <c r="AC432" i="4"/>
  <c r="AD432" i="4"/>
  <c r="AE432" i="4"/>
  <c r="AF432" i="4"/>
  <c r="AG432" i="4"/>
  <c r="AH432" i="4"/>
  <c r="AJ432" i="4"/>
  <c r="AK432" i="4"/>
  <c r="AL432" i="4"/>
  <c r="AO432" i="4"/>
  <c r="AP432" i="4"/>
  <c r="AV432" i="4"/>
  <c r="AW432" i="4"/>
  <c r="AX432" i="4"/>
  <c r="BC432" i="4"/>
  <c r="BD432" i="4"/>
  <c r="BF432" i="4"/>
  <c r="BH432" i="4"/>
  <c r="BI432" i="4"/>
  <c r="BJ432" i="4"/>
  <c r="I435" i="4"/>
  <c r="J435" i="4"/>
  <c r="K435" i="4"/>
  <c r="L435" i="4"/>
  <c r="AS435" i="4"/>
  <c r="AT435" i="4"/>
  <c r="AU435" i="4"/>
  <c r="I436" i="4"/>
  <c r="J436" i="4"/>
  <c r="K436" i="4"/>
  <c r="L436" i="4"/>
  <c r="Z436" i="4"/>
  <c r="AB436" i="4"/>
  <c r="AC436" i="4"/>
  <c r="AD436" i="4"/>
  <c r="AE436" i="4"/>
  <c r="AF436" i="4"/>
  <c r="AG436" i="4"/>
  <c r="AH436" i="4"/>
  <c r="AJ436" i="4"/>
  <c r="AK436" i="4"/>
  <c r="AL436" i="4"/>
  <c r="AO436" i="4"/>
  <c r="AP436" i="4"/>
  <c r="AV436" i="4"/>
  <c r="AW436" i="4"/>
  <c r="AX436" i="4"/>
  <c r="BC436" i="4"/>
  <c r="BD436" i="4"/>
  <c r="BF436" i="4"/>
  <c r="BH436" i="4"/>
  <c r="BI436" i="4"/>
  <c r="BJ436" i="4"/>
  <c r="I439" i="4"/>
  <c r="J439" i="4"/>
  <c r="K439" i="4"/>
  <c r="L439" i="4"/>
  <c r="Z439" i="4"/>
  <c r="AB439" i="4"/>
  <c r="AC439" i="4"/>
  <c r="AD439" i="4"/>
  <c r="AE439" i="4"/>
  <c r="AF439" i="4"/>
  <c r="AG439" i="4"/>
  <c r="AH439" i="4"/>
  <c r="AJ439" i="4"/>
  <c r="AK439" i="4"/>
  <c r="AL439" i="4"/>
  <c r="AO439" i="4"/>
  <c r="AP439" i="4"/>
  <c r="AV439" i="4"/>
  <c r="AW439" i="4"/>
  <c r="AX439" i="4"/>
  <c r="BC439" i="4"/>
  <c r="BD439" i="4"/>
  <c r="BF439" i="4"/>
  <c r="BH439" i="4"/>
  <c r="BI439" i="4"/>
  <c r="BJ439" i="4"/>
  <c r="I441" i="4"/>
  <c r="J441" i="4"/>
  <c r="K441" i="4"/>
  <c r="L441" i="4"/>
  <c r="Z441" i="4"/>
  <c r="AB441" i="4"/>
  <c r="AC441" i="4"/>
  <c r="AD441" i="4"/>
  <c r="AE441" i="4"/>
  <c r="AF441" i="4"/>
  <c r="AG441" i="4"/>
  <c r="AH441" i="4"/>
  <c r="AJ441" i="4"/>
  <c r="AK441" i="4"/>
  <c r="AL441" i="4"/>
  <c r="AO441" i="4"/>
  <c r="AP441" i="4"/>
  <c r="AV441" i="4"/>
  <c r="AW441" i="4"/>
  <c r="AX441" i="4"/>
  <c r="BC441" i="4"/>
  <c r="BD441" i="4"/>
  <c r="BF441" i="4"/>
  <c r="BH441" i="4"/>
  <c r="BI441" i="4"/>
  <c r="BJ441" i="4"/>
  <c r="I443" i="4"/>
  <c r="J443" i="4"/>
  <c r="K443" i="4"/>
  <c r="L443" i="4"/>
  <c r="Z443" i="4"/>
  <c r="AB443" i="4"/>
  <c r="AC443" i="4"/>
  <c r="AD443" i="4"/>
  <c r="AE443" i="4"/>
  <c r="AF443" i="4"/>
  <c r="AG443" i="4"/>
  <c r="AH443" i="4"/>
  <c r="AJ443" i="4"/>
  <c r="AK443" i="4"/>
  <c r="AL443" i="4"/>
  <c r="AO443" i="4"/>
  <c r="AP443" i="4"/>
  <c r="AV443" i="4"/>
  <c r="AW443" i="4"/>
  <c r="AX443" i="4"/>
  <c r="BC443" i="4"/>
  <c r="BD443" i="4"/>
  <c r="BF443" i="4"/>
  <c r="BH443" i="4"/>
  <c r="BI443" i="4"/>
  <c r="BJ443" i="4"/>
  <c r="I445" i="4"/>
  <c r="J445" i="4"/>
  <c r="K445" i="4"/>
  <c r="L445" i="4"/>
  <c r="Z445" i="4"/>
  <c r="AB445" i="4"/>
  <c r="AC445" i="4"/>
  <c r="AD445" i="4"/>
  <c r="AE445" i="4"/>
  <c r="AF445" i="4"/>
  <c r="AG445" i="4"/>
  <c r="AH445" i="4"/>
  <c r="AJ445" i="4"/>
  <c r="AK445" i="4"/>
  <c r="AL445" i="4"/>
  <c r="AO445" i="4"/>
  <c r="AP445" i="4"/>
  <c r="AV445" i="4"/>
  <c r="AW445" i="4"/>
  <c r="AX445" i="4"/>
  <c r="BC445" i="4"/>
  <c r="BD445" i="4"/>
  <c r="BF445" i="4"/>
  <c r="BH445" i="4"/>
  <c r="BI445" i="4"/>
  <c r="BJ445" i="4"/>
  <c r="I447" i="4"/>
  <c r="J447" i="4"/>
  <c r="K447" i="4"/>
  <c r="L447" i="4"/>
  <c r="AS447" i="4"/>
  <c r="AT447" i="4"/>
  <c r="AU447" i="4"/>
  <c r="I448" i="4"/>
  <c r="J448" i="4"/>
  <c r="K448" i="4"/>
  <c r="L448" i="4"/>
  <c r="Z448" i="4"/>
  <c r="AB448" i="4"/>
  <c r="AC448" i="4"/>
  <c r="AD448" i="4"/>
  <c r="AE448" i="4"/>
  <c r="AF448" i="4"/>
  <c r="AG448" i="4"/>
  <c r="AH448" i="4"/>
  <c r="AJ448" i="4"/>
  <c r="AK448" i="4"/>
  <c r="AL448" i="4"/>
  <c r="AO448" i="4"/>
  <c r="AP448" i="4"/>
  <c r="AV448" i="4"/>
  <c r="AW448" i="4"/>
  <c r="AX448" i="4"/>
  <c r="BC448" i="4"/>
  <c r="BD448" i="4"/>
  <c r="BF448" i="4"/>
  <c r="BH448" i="4"/>
  <c r="BI448" i="4"/>
  <c r="BJ448" i="4"/>
  <c r="I450" i="4"/>
  <c r="J450" i="4"/>
  <c r="K450" i="4"/>
  <c r="L450" i="4"/>
  <c r="AS450" i="4"/>
  <c r="AT450" i="4"/>
  <c r="AU450" i="4"/>
  <c r="I451" i="4"/>
  <c r="J451" i="4"/>
  <c r="K451" i="4"/>
  <c r="L451" i="4"/>
  <c r="Z451" i="4"/>
  <c r="AB451" i="4"/>
  <c r="AC451" i="4"/>
  <c r="AD451" i="4"/>
  <c r="AE451" i="4"/>
  <c r="AF451" i="4"/>
  <c r="AG451" i="4"/>
  <c r="AH451" i="4"/>
  <c r="AJ451" i="4"/>
  <c r="AK451" i="4"/>
  <c r="AL451" i="4"/>
  <c r="AO451" i="4"/>
  <c r="AP451" i="4"/>
  <c r="AV451" i="4"/>
  <c r="AW451" i="4"/>
  <c r="AX451" i="4"/>
  <c r="BC451" i="4"/>
  <c r="BD451" i="4"/>
  <c r="BF451" i="4"/>
  <c r="BH451" i="4"/>
  <c r="BI451" i="4"/>
  <c r="BJ451" i="4"/>
  <c r="I456" i="4"/>
  <c r="J456" i="4"/>
  <c r="K456" i="4"/>
  <c r="L456" i="4"/>
  <c r="Z456" i="4"/>
  <c r="AB456" i="4"/>
  <c r="AC456" i="4"/>
  <c r="AD456" i="4"/>
  <c r="AE456" i="4"/>
  <c r="AF456" i="4"/>
  <c r="AG456" i="4"/>
  <c r="AH456" i="4"/>
  <c r="AJ456" i="4"/>
  <c r="AK456" i="4"/>
  <c r="AL456" i="4"/>
  <c r="AO456" i="4"/>
  <c r="AP456" i="4"/>
  <c r="AV456" i="4"/>
  <c r="AW456" i="4"/>
  <c r="AX456" i="4"/>
  <c r="BC456" i="4"/>
  <c r="BD456" i="4"/>
  <c r="BF456" i="4"/>
  <c r="BH456" i="4"/>
  <c r="BI456" i="4"/>
  <c r="BJ456" i="4"/>
  <c r="I458" i="4"/>
  <c r="J458" i="4"/>
  <c r="K458" i="4"/>
  <c r="L458" i="4"/>
  <c r="Z458" i="4"/>
  <c r="AB458" i="4"/>
  <c r="AC458" i="4"/>
  <c r="AD458" i="4"/>
  <c r="AE458" i="4"/>
  <c r="AF458" i="4"/>
  <c r="AG458" i="4"/>
  <c r="AH458" i="4"/>
  <c r="AJ458" i="4"/>
  <c r="AK458" i="4"/>
  <c r="AL458" i="4"/>
  <c r="AO458" i="4"/>
  <c r="AP458" i="4"/>
  <c r="AV458" i="4"/>
  <c r="AW458" i="4"/>
  <c r="AX458" i="4"/>
  <c r="BC458" i="4"/>
  <c r="BD458" i="4"/>
  <c r="BF458" i="4"/>
  <c r="BH458" i="4"/>
  <c r="BI458" i="4"/>
  <c r="BJ458" i="4"/>
  <c r="I460" i="4"/>
  <c r="J460" i="4"/>
  <c r="K460" i="4"/>
  <c r="L460" i="4"/>
  <c r="Z460" i="4"/>
  <c r="AB460" i="4"/>
  <c r="AC460" i="4"/>
  <c r="AD460" i="4"/>
  <c r="AE460" i="4"/>
  <c r="AF460" i="4"/>
  <c r="AG460" i="4"/>
  <c r="AH460" i="4"/>
  <c r="AJ460" i="4"/>
  <c r="AK460" i="4"/>
  <c r="AL460" i="4"/>
  <c r="AO460" i="4"/>
  <c r="AP460" i="4"/>
  <c r="AV460" i="4"/>
  <c r="AW460" i="4"/>
  <c r="AX460" i="4"/>
  <c r="BC460" i="4"/>
  <c r="BD460" i="4"/>
  <c r="BF460" i="4"/>
  <c r="BH460" i="4"/>
  <c r="BI460" i="4"/>
  <c r="BJ460" i="4"/>
  <c r="I462" i="4"/>
  <c r="J462" i="4"/>
  <c r="K462" i="4"/>
  <c r="L462" i="4"/>
  <c r="Z462" i="4"/>
  <c r="AB462" i="4"/>
  <c r="AC462" i="4"/>
  <c r="AD462" i="4"/>
  <c r="AE462" i="4"/>
  <c r="AF462" i="4"/>
  <c r="AG462" i="4"/>
  <c r="AH462" i="4"/>
  <c r="AJ462" i="4"/>
  <c r="AK462" i="4"/>
  <c r="AL462" i="4"/>
  <c r="AO462" i="4"/>
  <c r="AP462" i="4"/>
  <c r="AV462" i="4"/>
  <c r="AW462" i="4"/>
  <c r="AX462" i="4"/>
  <c r="BC462" i="4"/>
  <c r="BD462" i="4"/>
  <c r="BF462" i="4"/>
  <c r="BH462" i="4"/>
  <c r="BI462" i="4"/>
  <c r="BJ462" i="4"/>
  <c r="I464" i="4"/>
  <c r="J464" i="4"/>
  <c r="K464" i="4"/>
  <c r="L464" i="4"/>
  <c r="Z464" i="4"/>
  <c r="AB464" i="4"/>
  <c r="AC464" i="4"/>
  <c r="AD464" i="4"/>
  <c r="AE464" i="4"/>
  <c r="AF464" i="4"/>
  <c r="AG464" i="4"/>
  <c r="AH464" i="4"/>
  <c r="AJ464" i="4"/>
  <c r="AK464" i="4"/>
  <c r="AL464" i="4"/>
  <c r="AO464" i="4"/>
  <c r="AP464" i="4"/>
  <c r="AV464" i="4"/>
  <c r="AW464" i="4"/>
  <c r="AX464" i="4"/>
  <c r="BC464" i="4"/>
  <c r="BD464" i="4"/>
  <c r="BF464" i="4"/>
  <c r="BH464" i="4"/>
  <c r="BI464" i="4"/>
  <c r="BJ464" i="4"/>
  <c r="I466" i="4"/>
  <c r="J466" i="4"/>
  <c r="K466" i="4"/>
  <c r="L466" i="4"/>
  <c r="Z466" i="4"/>
  <c r="AB466" i="4"/>
  <c r="AC466" i="4"/>
  <c r="AD466" i="4"/>
  <c r="AE466" i="4"/>
  <c r="AF466" i="4"/>
  <c r="AG466" i="4"/>
  <c r="AH466" i="4"/>
  <c r="AJ466" i="4"/>
  <c r="AK466" i="4"/>
  <c r="AL466" i="4"/>
  <c r="AO466" i="4"/>
  <c r="AP466" i="4"/>
  <c r="AV466" i="4"/>
  <c r="AW466" i="4"/>
  <c r="AX466" i="4"/>
  <c r="BC466" i="4"/>
  <c r="BD466" i="4"/>
  <c r="BF466" i="4"/>
  <c r="BH466" i="4"/>
  <c r="BI466" i="4"/>
  <c r="BJ466" i="4"/>
  <c r="I468" i="4"/>
  <c r="J468" i="4"/>
  <c r="K468" i="4"/>
  <c r="L468" i="4"/>
  <c r="Z468" i="4"/>
  <c r="AB468" i="4"/>
  <c r="AC468" i="4"/>
  <c r="AD468" i="4"/>
  <c r="AE468" i="4"/>
  <c r="AF468" i="4"/>
  <c r="AG468" i="4"/>
  <c r="AH468" i="4"/>
  <c r="AJ468" i="4"/>
  <c r="AK468" i="4"/>
  <c r="AL468" i="4"/>
  <c r="AO468" i="4"/>
  <c r="AP468" i="4"/>
  <c r="AV468" i="4"/>
  <c r="AW468" i="4"/>
  <c r="AX468" i="4"/>
  <c r="BC468" i="4"/>
  <c r="BD468" i="4"/>
  <c r="BF468" i="4"/>
  <c r="BH468" i="4"/>
  <c r="BI468" i="4"/>
  <c r="BJ468" i="4"/>
  <c r="I470" i="4"/>
  <c r="J470" i="4"/>
  <c r="K470" i="4"/>
  <c r="L470" i="4"/>
  <c r="AS470" i="4"/>
  <c r="AT470" i="4"/>
  <c r="AU470" i="4"/>
  <c r="I471" i="4"/>
  <c r="J471" i="4"/>
  <c r="K471" i="4"/>
  <c r="L471" i="4"/>
  <c r="Z471" i="4"/>
  <c r="AB471" i="4"/>
  <c r="AC471" i="4"/>
  <c r="AD471" i="4"/>
  <c r="AE471" i="4"/>
  <c r="AF471" i="4"/>
  <c r="AG471" i="4"/>
  <c r="AH471" i="4"/>
  <c r="AJ471" i="4"/>
  <c r="AK471" i="4"/>
  <c r="AL471" i="4"/>
  <c r="AO471" i="4"/>
  <c r="AP471" i="4"/>
  <c r="AV471" i="4"/>
  <c r="AW471" i="4"/>
  <c r="AX471" i="4"/>
  <c r="BC471" i="4"/>
  <c r="BD471" i="4"/>
  <c r="BF471" i="4"/>
  <c r="BH471" i="4"/>
  <c r="BI471" i="4"/>
  <c r="BJ471" i="4"/>
  <c r="I472" i="4"/>
  <c r="J472" i="4"/>
  <c r="K472" i="4"/>
  <c r="L472" i="4"/>
  <c r="I473" i="4"/>
  <c r="J473" i="4"/>
  <c r="K473" i="4"/>
  <c r="L473" i="4"/>
  <c r="AS473" i="4"/>
  <c r="AT473" i="4"/>
  <c r="AU473" i="4"/>
  <c r="I474" i="4"/>
  <c r="J474" i="4"/>
  <c r="K474" i="4"/>
  <c r="L474" i="4"/>
  <c r="Z474" i="4"/>
  <c r="AB474" i="4"/>
  <c r="AC474" i="4"/>
  <c r="AD474" i="4"/>
  <c r="AE474" i="4"/>
  <c r="AF474" i="4"/>
  <c r="AG474" i="4"/>
  <c r="AH474" i="4"/>
  <c r="AJ474" i="4"/>
  <c r="AK474" i="4"/>
  <c r="AL474" i="4"/>
  <c r="AO474" i="4"/>
  <c r="AP474" i="4"/>
  <c r="AV474" i="4"/>
  <c r="AW474" i="4"/>
  <c r="AX474" i="4"/>
  <c r="BC474" i="4"/>
  <c r="BD474" i="4"/>
  <c r="BF474" i="4"/>
  <c r="BH474" i="4"/>
  <c r="BI474" i="4"/>
  <c r="BJ474" i="4"/>
  <c r="I481" i="4"/>
  <c r="J481" i="4"/>
  <c r="K481" i="4"/>
  <c r="L481" i="4"/>
  <c r="AS481" i="4"/>
  <c r="AT481" i="4"/>
  <c r="AU481" i="4"/>
  <c r="I482" i="4"/>
  <c r="J482" i="4"/>
  <c r="K482" i="4"/>
  <c r="L482" i="4"/>
  <c r="Z482" i="4"/>
  <c r="AB482" i="4"/>
  <c r="AC482" i="4"/>
  <c r="AD482" i="4"/>
  <c r="AE482" i="4"/>
  <c r="AF482" i="4"/>
  <c r="AG482" i="4"/>
  <c r="AH482" i="4"/>
  <c r="AJ482" i="4"/>
  <c r="AK482" i="4"/>
  <c r="AL482" i="4"/>
  <c r="AO482" i="4"/>
  <c r="AP482" i="4"/>
  <c r="AV482" i="4"/>
  <c r="AW482" i="4"/>
  <c r="AX482" i="4"/>
  <c r="BC482" i="4"/>
  <c r="BD482" i="4"/>
  <c r="BF482" i="4"/>
  <c r="BH482" i="4"/>
  <c r="BI482" i="4"/>
  <c r="BJ482" i="4"/>
  <c r="I485" i="4"/>
  <c r="J485" i="4"/>
  <c r="K485" i="4"/>
  <c r="L485" i="4"/>
  <c r="AS485" i="4"/>
  <c r="AT485" i="4"/>
  <c r="AU485" i="4"/>
  <c r="I486" i="4"/>
  <c r="J486" i="4"/>
  <c r="K486" i="4"/>
  <c r="L486" i="4"/>
  <c r="Z486" i="4"/>
  <c r="AB486" i="4"/>
  <c r="AC486" i="4"/>
  <c r="AD486" i="4"/>
  <c r="AE486" i="4"/>
  <c r="AF486" i="4"/>
  <c r="AG486" i="4"/>
  <c r="AH486" i="4"/>
  <c r="AJ486" i="4"/>
  <c r="AK486" i="4"/>
  <c r="AL486" i="4"/>
  <c r="AO486" i="4"/>
  <c r="AP486" i="4"/>
  <c r="AV486" i="4"/>
  <c r="AW486" i="4"/>
  <c r="AX486" i="4"/>
  <c r="BC486" i="4"/>
  <c r="BD486" i="4"/>
  <c r="BF486" i="4"/>
  <c r="BH486" i="4"/>
  <c r="BI486" i="4"/>
  <c r="BJ486" i="4"/>
  <c r="I488" i="4"/>
  <c r="J488" i="4"/>
  <c r="K488" i="4"/>
  <c r="L488" i="4"/>
  <c r="Z488" i="4"/>
  <c r="AB488" i="4"/>
  <c r="AC488" i="4"/>
  <c r="AD488" i="4"/>
  <c r="AE488" i="4"/>
  <c r="AF488" i="4"/>
  <c r="AG488" i="4"/>
  <c r="AH488" i="4"/>
  <c r="AJ488" i="4"/>
  <c r="AK488" i="4"/>
  <c r="AL488" i="4"/>
  <c r="AO488" i="4"/>
  <c r="AP488" i="4"/>
  <c r="AV488" i="4"/>
  <c r="AW488" i="4"/>
  <c r="AX488" i="4"/>
  <c r="BC488" i="4"/>
  <c r="BD488" i="4"/>
  <c r="BF488" i="4"/>
  <c r="BH488" i="4"/>
  <c r="BI488" i="4"/>
  <c r="BJ488" i="4"/>
  <c r="I491" i="4"/>
  <c r="J491" i="4"/>
  <c r="K491" i="4"/>
  <c r="L491" i="4"/>
  <c r="Z491" i="4"/>
  <c r="AB491" i="4"/>
  <c r="AC491" i="4"/>
  <c r="AD491" i="4"/>
  <c r="AE491" i="4"/>
  <c r="AF491" i="4"/>
  <c r="AG491" i="4"/>
  <c r="AH491" i="4"/>
  <c r="AJ491" i="4"/>
  <c r="AK491" i="4"/>
  <c r="AL491" i="4"/>
  <c r="AO491" i="4"/>
  <c r="AP491" i="4"/>
  <c r="AV491" i="4"/>
  <c r="AW491" i="4"/>
  <c r="AX491" i="4"/>
  <c r="BC491" i="4"/>
  <c r="BD491" i="4"/>
  <c r="BF491" i="4"/>
  <c r="BH491" i="4"/>
  <c r="BI491" i="4"/>
  <c r="BJ491" i="4"/>
  <c r="I493" i="4"/>
  <c r="J493" i="4"/>
  <c r="K493" i="4"/>
  <c r="L493" i="4"/>
  <c r="Z493" i="4"/>
  <c r="AB493" i="4"/>
  <c r="AC493" i="4"/>
  <c r="AD493" i="4"/>
  <c r="AE493" i="4"/>
  <c r="AF493" i="4"/>
  <c r="AG493" i="4"/>
  <c r="AH493" i="4"/>
  <c r="AJ493" i="4"/>
  <c r="AK493" i="4"/>
  <c r="AL493" i="4"/>
  <c r="AO493" i="4"/>
  <c r="AP493" i="4"/>
  <c r="AV493" i="4"/>
  <c r="AW493" i="4"/>
  <c r="AX493" i="4"/>
  <c r="BC493" i="4"/>
  <c r="BD493" i="4"/>
  <c r="BF493" i="4"/>
  <c r="BH493" i="4"/>
  <c r="BI493" i="4"/>
  <c r="BJ493" i="4"/>
  <c r="I495" i="4"/>
  <c r="J495" i="4"/>
  <c r="K495" i="4"/>
  <c r="L495" i="4"/>
  <c r="Z495" i="4"/>
  <c r="AB495" i="4"/>
  <c r="AC495" i="4"/>
  <c r="AD495" i="4"/>
  <c r="AE495" i="4"/>
  <c r="AF495" i="4"/>
  <c r="AG495" i="4"/>
  <c r="AH495" i="4"/>
  <c r="AJ495" i="4"/>
  <c r="AK495" i="4"/>
  <c r="AL495" i="4"/>
  <c r="AO495" i="4"/>
  <c r="AP495" i="4"/>
  <c r="AV495" i="4"/>
  <c r="AW495" i="4"/>
  <c r="AX495" i="4"/>
  <c r="BC495" i="4"/>
  <c r="BD495" i="4"/>
  <c r="BF495" i="4"/>
  <c r="BH495" i="4"/>
  <c r="BI495" i="4"/>
  <c r="BJ495" i="4"/>
  <c r="I497" i="4"/>
  <c r="J497" i="4"/>
  <c r="K497" i="4"/>
  <c r="L497" i="4"/>
  <c r="Z497" i="4"/>
  <c r="AB497" i="4"/>
  <c r="AC497" i="4"/>
  <c r="AD497" i="4"/>
  <c r="AE497" i="4"/>
  <c r="AF497" i="4"/>
  <c r="AG497" i="4"/>
  <c r="AH497" i="4"/>
  <c r="AJ497" i="4"/>
  <c r="AK497" i="4"/>
  <c r="AL497" i="4"/>
  <c r="AO497" i="4"/>
  <c r="AP497" i="4"/>
  <c r="AV497" i="4"/>
  <c r="AW497" i="4"/>
  <c r="AX497" i="4"/>
  <c r="BC497" i="4"/>
  <c r="BD497" i="4"/>
  <c r="BF497" i="4"/>
  <c r="BH497" i="4"/>
  <c r="BI497" i="4"/>
  <c r="BJ497" i="4"/>
  <c r="I499" i="4"/>
  <c r="J499" i="4"/>
  <c r="K499" i="4"/>
  <c r="L499" i="4"/>
  <c r="Z499" i="4"/>
  <c r="AB499" i="4"/>
  <c r="AC499" i="4"/>
  <c r="AD499" i="4"/>
  <c r="AE499" i="4"/>
  <c r="AF499" i="4"/>
  <c r="AG499" i="4"/>
  <c r="AH499" i="4"/>
  <c r="AJ499" i="4"/>
  <c r="AK499" i="4"/>
  <c r="AL499" i="4"/>
  <c r="AO499" i="4"/>
  <c r="AP499" i="4"/>
  <c r="AV499" i="4"/>
  <c r="AW499" i="4"/>
  <c r="AX499" i="4"/>
  <c r="BC499" i="4"/>
  <c r="BD499" i="4"/>
  <c r="BF499" i="4"/>
  <c r="BH499" i="4"/>
  <c r="BI499" i="4"/>
  <c r="BJ499" i="4"/>
  <c r="I501" i="4"/>
  <c r="J501" i="4"/>
  <c r="K501" i="4"/>
  <c r="L501" i="4"/>
  <c r="Z501" i="4"/>
  <c r="AB501" i="4"/>
  <c r="AC501" i="4"/>
  <c r="AD501" i="4"/>
  <c r="AE501" i="4"/>
  <c r="AF501" i="4"/>
  <c r="AG501" i="4"/>
  <c r="AH501" i="4"/>
  <c r="AJ501" i="4"/>
  <c r="AK501" i="4"/>
  <c r="AL501" i="4"/>
  <c r="AO501" i="4"/>
  <c r="AP501" i="4"/>
  <c r="AV501" i="4"/>
  <c r="AW501" i="4"/>
  <c r="AX501" i="4"/>
  <c r="BC501" i="4"/>
  <c r="BD501" i="4"/>
  <c r="BF501" i="4"/>
  <c r="BH501" i="4"/>
  <c r="BI501" i="4"/>
  <c r="BJ501" i="4"/>
  <c r="I504" i="4"/>
  <c r="J504" i="4"/>
  <c r="K504" i="4"/>
  <c r="L504" i="4"/>
  <c r="Z504" i="4"/>
  <c r="AB504" i="4"/>
  <c r="AC504" i="4"/>
  <c r="AD504" i="4"/>
  <c r="AE504" i="4"/>
  <c r="AF504" i="4"/>
  <c r="AG504" i="4"/>
  <c r="AH504" i="4"/>
  <c r="AJ504" i="4"/>
  <c r="AK504" i="4"/>
  <c r="AL504" i="4"/>
  <c r="AO504" i="4"/>
  <c r="AP504" i="4"/>
  <c r="AV504" i="4"/>
  <c r="AW504" i="4"/>
  <c r="AX504" i="4"/>
  <c r="BC504" i="4"/>
  <c r="BD504" i="4"/>
  <c r="BF504" i="4"/>
  <c r="BH504" i="4"/>
  <c r="BI504" i="4"/>
  <c r="BJ504" i="4"/>
  <c r="I507" i="4"/>
  <c r="J507" i="4"/>
  <c r="K507" i="4"/>
  <c r="L507" i="4"/>
  <c r="Z507" i="4"/>
  <c r="AB507" i="4"/>
  <c r="AC507" i="4"/>
  <c r="AD507" i="4"/>
  <c r="AE507" i="4"/>
  <c r="AF507" i="4"/>
  <c r="AG507" i="4"/>
  <c r="AH507" i="4"/>
  <c r="AJ507" i="4"/>
  <c r="AK507" i="4"/>
  <c r="AL507" i="4"/>
  <c r="AO507" i="4"/>
  <c r="AP507" i="4"/>
  <c r="AV507" i="4"/>
  <c r="AW507" i="4"/>
  <c r="AX507" i="4"/>
  <c r="BC507" i="4"/>
  <c r="BD507" i="4"/>
  <c r="BF507" i="4"/>
  <c r="BH507" i="4"/>
  <c r="BI507" i="4"/>
  <c r="BJ507" i="4"/>
  <c r="I510" i="4"/>
  <c r="J510" i="4"/>
  <c r="K510" i="4"/>
  <c r="L510" i="4"/>
  <c r="Z510" i="4"/>
  <c r="AB510" i="4"/>
  <c r="AC510" i="4"/>
  <c r="AD510" i="4"/>
  <c r="AE510" i="4"/>
  <c r="AF510" i="4"/>
  <c r="AG510" i="4"/>
  <c r="AH510" i="4"/>
  <c r="AJ510" i="4"/>
  <c r="AK510" i="4"/>
  <c r="AL510" i="4"/>
  <c r="AO510" i="4"/>
  <c r="AP510" i="4"/>
  <c r="AV510" i="4"/>
  <c r="AW510" i="4"/>
  <c r="AX510" i="4"/>
  <c r="BC510" i="4"/>
  <c r="BD510" i="4"/>
  <c r="BF510" i="4"/>
  <c r="BH510" i="4"/>
  <c r="BI510" i="4"/>
  <c r="BJ510" i="4"/>
  <c r="I513" i="4"/>
  <c r="J513" i="4"/>
  <c r="K513" i="4"/>
  <c r="L513" i="4"/>
  <c r="Z513" i="4"/>
  <c r="AB513" i="4"/>
  <c r="AC513" i="4"/>
  <c r="AD513" i="4"/>
  <c r="AE513" i="4"/>
  <c r="AF513" i="4"/>
  <c r="AG513" i="4"/>
  <c r="AH513" i="4"/>
  <c r="AJ513" i="4"/>
  <c r="AK513" i="4"/>
  <c r="AL513" i="4"/>
  <c r="AO513" i="4"/>
  <c r="AP513" i="4"/>
  <c r="AV513" i="4"/>
  <c r="AW513" i="4"/>
  <c r="AX513" i="4"/>
  <c r="BC513" i="4"/>
  <c r="BD513" i="4"/>
  <c r="BF513" i="4"/>
  <c r="BH513" i="4"/>
  <c r="BI513" i="4"/>
  <c r="BJ513" i="4"/>
  <c r="I516" i="4"/>
  <c r="J516" i="4"/>
  <c r="K516" i="4"/>
  <c r="L516" i="4"/>
  <c r="Z516" i="4"/>
  <c r="AB516" i="4"/>
  <c r="AC516" i="4"/>
  <c r="AD516" i="4"/>
  <c r="AE516" i="4"/>
  <c r="AF516" i="4"/>
  <c r="AG516" i="4"/>
  <c r="AH516" i="4"/>
  <c r="AJ516" i="4"/>
  <c r="AK516" i="4"/>
  <c r="AL516" i="4"/>
  <c r="AO516" i="4"/>
  <c r="AP516" i="4"/>
  <c r="AV516" i="4"/>
  <c r="AW516" i="4"/>
  <c r="AX516" i="4"/>
  <c r="BC516" i="4"/>
  <c r="BD516" i="4"/>
  <c r="BF516" i="4"/>
  <c r="BH516" i="4"/>
  <c r="BI516" i="4"/>
  <c r="BJ516" i="4"/>
  <c r="I519" i="4"/>
  <c r="J519" i="4"/>
  <c r="K519" i="4"/>
  <c r="L519" i="4"/>
  <c r="Z519" i="4"/>
  <c r="AB519" i="4"/>
  <c r="AC519" i="4"/>
  <c r="AD519" i="4"/>
  <c r="AE519" i="4"/>
  <c r="AF519" i="4"/>
  <c r="AG519" i="4"/>
  <c r="AH519" i="4"/>
  <c r="AJ519" i="4"/>
  <c r="AK519" i="4"/>
  <c r="AL519" i="4"/>
  <c r="AO519" i="4"/>
  <c r="AP519" i="4"/>
  <c r="AV519" i="4"/>
  <c r="AW519" i="4"/>
  <c r="AX519" i="4"/>
  <c r="BC519" i="4"/>
  <c r="BD519" i="4"/>
  <c r="BF519" i="4"/>
  <c r="BH519" i="4"/>
  <c r="BI519" i="4"/>
  <c r="BJ519" i="4"/>
  <c r="I523" i="4"/>
  <c r="J523" i="4"/>
  <c r="K523" i="4"/>
  <c r="L523" i="4"/>
  <c r="AS523" i="4"/>
  <c r="AT523" i="4"/>
  <c r="AU523" i="4"/>
  <c r="I524" i="4"/>
  <c r="J524" i="4"/>
  <c r="K524" i="4"/>
  <c r="L524" i="4"/>
  <c r="Z524" i="4"/>
  <c r="AB524" i="4"/>
  <c r="AC524" i="4"/>
  <c r="AD524" i="4"/>
  <c r="AE524" i="4"/>
  <c r="AF524" i="4"/>
  <c r="AG524" i="4"/>
  <c r="AH524" i="4"/>
  <c r="AJ524" i="4"/>
  <c r="AK524" i="4"/>
  <c r="AL524" i="4"/>
  <c r="AO524" i="4"/>
  <c r="AP524" i="4"/>
  <c r="AV524" i="4"/>
  <c r="AW524" i="4"/>
  <c r="AX524" i="4"/>
  <c r="BC524" i="4"/>
  <c r="BD524" i="4"/>
  <c r="BF524" i="4"/>
  <c r="BH524" i="4"/>
  <c r="BI524" i="4"/>
  <c r="BJ524" i="4"/>
  <c r="I528" i="4"/>
  <c r="J528" i="4"/>
  <c r="K528" i="4"/>
  <c r="L528" i="4"/>
  <c r="AS528" i="4"/>
  <c r="AT528" i="4"/>
  <c r="AU528" i="4"/>
  <c r="I529" i="4"/>
  <c r="J529" i="4"/>
  <c r="K529" i="4"/>
  <c r="L529" i="4"/>
  <c r="Z529" i="4"/>
  <c r="AB529" i="4"/>
  <c r="AC529" i="4"/>
  <c r="AD529" i="4"/>
  <c r="AE529" i="4"/>
  <c r="AF529" i="4"/>
  <c r="AG529" i="4"/>
  <c r="AH529" i="4"/>
  <c r="AJ529" i="4"/>
  <c r="AK529" i="4"/>
  <c r="AL529" i="4"/>
  <c r="AO529" i="4"/>
  <c r="AP529" i="4"/>
  <c r="AV529" i="4"/>
  <c r="AW529" i="4"/>
  <c r="AX529" i="4"/>
  <c r="BC529" i="4"/>
  <c r="BD529" i="4"/>
  <c r="BF529" i="4"/>
  <c r="BH529" i="4"/>
  <c r="BI529" i="4"/>
  <c r="BJ529" i="4"/>
  <c r="I532" i="4"/>
  <c r="J532" i="4"/>
  <c r="K532" i="4"/>
  <c r="L532" i="4"/>
  <c r="AS532" i="4"/>
  <c r="AT532" i="4"/>
  <c r="AU532" i="4"/>
  <c r="I533" i="4"/>
  <c r="J533" i="4"/>
  <c r="K533" i="4"/>
  <c r="L533" i="4"/>
  <c r="Z533" i="4"/>
  <c r="AB533" i="4"/>
  <c r="AC533" i="4"/>
  <c r="AD533" i="4"/>
  <c r="AE533" i="4"/>
  <c r="AF533" i="4"/>
  <c r="AG533" i="4"/>
  <c r="AH533" i="4"/>
  <c r="AJ533" i="4"/>
  <c r="AK533" i="4"/>
  <c r="AL533" i="4"/>
  <c r="AO533" i="4"/>
  <c r="AP533" i="4"/>
  <c r="AV533" i="4"/>
  <c r="AW533" i="4"/>
  <c r="AX533" i="4"/>
  <c r="BC533" i="4"/>
  <c r="BD533" i="4"/>
  <c r="BF533" i="4"/>
  <c r="BH533" i="4"/>
  <c r="BI533" i="4"/>
  <c r="BJ533" i="4"/>
  <c r="I536" i="4"/>
  <c r="J536" i="4"/>
  <c r="K536" i="4"/>
  <c r="L536" i="4"/>
  <c r="AS536" i="4"/>
  <c r="AT536" i="4"/>
  <c r="AU536" i="4"/>
  <c r="I537" i="4"/>
  <c r="J537" i="4"/>
  <c r="K537" i="4"/>
  <c r="L537" i="4"/>
  <c r="Z537" i="4"/>
  <c r="AB537" i="4"/>
  <c r="AC537" i="4"/>
  <c r="AD537" i="4"/>
  <c r="AE537" i="4"/>
  <c r="AF537" i="4"/>
  <c r="AG537" i="4"/>
  <c r="AH537" i="4"/>
  <c r="AJ537" i="4"/>
  <c r="AK537" i="4"/>
  <c r="AL537" i="4"/>
  <c r="AO537" i="4"/>
  <c r="AP537" i="4"/>
  <c r="AV537" i="4"/>
  <c r="AW537" i="4"/>
  <c r="AX537" i="4"/>
  <c r="BC537" i="4"/>
  <c r="BD537" i="4"/>
  <c r="BF537" i="4"/>
  <c r="BH537" i="4"/>
  <c r="BI537" i="4"/>
  <c r="BJ537" i="4"/>
  <c r="I538" i="4"/>
  <c r="J538" i="4"/>
  <c r="K538" i="4"/>
  <c r="L538" i="4"/>
  <c r="I539" i="4"/>
  <c r="J539" i="4"/>
  <c r="K539" i="4"/>
  <c r="L539" i="4"/>
  <c r="AS539" i="4"/>
  <c r="AT539" i="4"/>
  <c r="AU539" i="4"/>
  <c r="I540" i="4"/>
  <c r="J540" i="4"/>
  <c r="K540" i="4"/>
  <c r="L540" i="4"/>
  <c r="Z540" i="4"/>
  <c r="AB540" i="4"/>
  <c r="AC540" i="4"/>
  <c r="AD540" i="4"/>
  <c r="AE540" i="4"/>
  <c r="AF540" i="4"/>
  <c r="AG540" i="4"/>
  <c r="AH540" i="4"/>
  <c r="AJ540" i="4"/>
  <c r="AK540" i="4"/>
  <c r="AL540" i="4"/>
  <c r="AO540" i="4"/>
  <c r="AP540" i="4"/>
  <c r="AV540" i="4"/>
  <c r="AW540" i="4"/>
  <c r="AX540" i="4"/>
  <c r="BC540" i="4"/>
  <c r="BD540" i="4"/>
  <c r="BF540" i="4"/>
  <c r="BH540" i="4"/>
  <c r="BI540" i="4"/>
  <c r="BJ540" i="4"/>
  <c r="I543" i="4"/>
  <c r="J543" i="4"/>
  <c r="K543" i="4"/>
  <c r="L543" i="4"/>
  <c r="Z543" i="4"/>
  <c r="AB543" i="4"/>
  <c r="AC543" i="4"/>
  <c r="AD543" i="4"/>
  <c r="AE543" i="4"/>
  <c r="AF543" i="4"/>
  <c r="AG543" i="4"/>
  <c r="AH543" i="4"/>
  <c r="AJ543" i="4"/>
  <c r="AK543" i="4"/>
  <c r="AL543" i="4"/>
  <c r="AO543" i="4"/>
  <c r="AP543" i="4"/>
  <c r="AV543" i="4"/>
  <c r="AW543" i="4"/>
  <c r="AX543" i="4"/>
  <c r="BC543" i="4"/>
  <c r="BD543" i="4"/>
  <c r="BF543" i="4"/>
  <c r="BH543" i="4"/>
  <c r="BI543" i="4"/>
  <c r="BJ543" i="4"/>
  <c r="I545" i="4"/>
  <c r="J545" i="4"/>
  <c r="K545" i="4"/>
  <c r="L545" i="4"/>
  <c r="Z545" i="4"/>
  <c r="AB545" i="4"/>
  <c r="AC545" i="4"/>
  <c r="AD545" i="4"/>
  <c r="AE545" i="4"/>
  <c r="AF545" i="4"/>
  <c r="AG545" i="4"/>
  <c r="AH545" i="4"/>
  <c r="AJ545" i="4"/>
  <c r="AK545" i="4"/>
  <c r="AL545" i="4"/>
  <c r="AO545" i="4"/>
  <c r="AP545" i="4"/>
  <c r="AV545" i="4"/>
  <c r="AW545" i="4"/>
  <c r="AX545" i="4"/>
  <c r="BC545" i="4"/>
  <c r="BD545" i="4"/>
  <c r="BF545" i="4"/>
  <c r="BH545" i="4"/>
  <c r="BI545" i="4"/>
  <c r="BJ545" i="4"/>
  <c r="I547" i="4"/>
  <c r="J547" i="4"/>
  <c r="K547" i="4"/>
  <c r="L547" i="4"/>
  <c r="Z547" i="4"/>
  <c r="AB547" i="4"/>
  <c r="AC547" i="4"/>
  <c r="AD547" i="4"/>
  <c r="AE547" i="4"/>
  <c r="AF547" i="4"/>
  <c r="AG547" i="4"/>
  <c r="AH547" i="4"/>
  <c r="AJ547" i="4"/>
  <c r="AK547" i="4"/>
  <c r="AL547" i="4"/>
  <c r="AO547" i="4"/>
  <c r="AP547" i="4"/>
  <c r="AV547" i="4"/>
  <c r="AW547" i="4"/>
  <c r="AX547" i="4"/>
  <c r="BC547" i="4"/>
  <c r="BD547" i="4"/>
  <c r="BF547" i="4"/>
  <c r="BH547" i="4"/>
  <c r="BI547" i="4"/>
  <c r="BJ547" i="4"/>
  <c r="I549" i="4"/>
  <c r="J549" i="4"/>
  <c r="K549" i="4"/>
  <c r="L549" i="4"/>
  <c r="Z549" i="4"/>
  <c r="AB549" i="4"/>
  <c r="AC549" i="4"/>
  <c r="AD549" i="4"/>
  <c r="AE549" i="4"/>
  <c r="AF549" i="4"/>
  <c r="AG549" i="4"/>
  <c r="AH549" i="4"/>
  <c r="AJ549" i="4"/>
  <c r="AK549" i="4"/>
  <c r="AL549" i="4"/>
  <c r="AO549" i="4"/>
  <c r="AP549" i="4"/>
  <c r="AV549" i="4"/>
  <c r="AW549" i="4"/>
  <c r="AX549" i="4"/>
  <c r="BC549" i="4"/>
  <c r="BD549" i="4"/>
  <c r="BF549" i="4"/>
  <c r="BH549" i="4"/>
  <c r="BI549" i="4"/>
  <c r="BJ549" i="4"/>
  <c r="I552" i="4"/>
  <c r="J552" i="4"/>
  <c r="K552" i="4"/>
  <c r="L552" i="4"/>
  <c r="Z552" i="4"/>
  <c r="AB552" i="4"/>
  <c r="AC552" i="4"/>
  <c r="AD552" i="4"/>
  <c r="AE552" i="4"/>
  <c r="AF552" i="4"/>
  <c r="AG552" i="4"/>
  <c r="AH552" i="4"/>
  <c r="AJ552" i="4"/>
  <c r="AK552" i="4"/>
  <c r="AL552" i="4"/>
  <c r="AO552" i="4"/>
  <c r="AP552" i="4"/>
  <c r="AV552" i="4"/>
  <c r="AW552" i="4"/>
  <c r="AX552" i="4"/>
  <c r="BC552" i="4"/>
  <c r="BD552" i="4"/>
  <c r="BF552" i="4"/>
  <c r="BH552" i="4"/>
  <c r="BI552" i="4"/>
  <c r="BJ552" i="4"/>
  <c r="I554" i="4"/>
  <c r="J554" i="4"/>
  <c r="K554" i="4"/>
  <c r="L554" i="4"/>
  <c r="Z554" i="4"/>
  <c r="AB554" i="4"/>
  <c r="AC554" i="4"/>
  <c r="AD554" i="4"/>
  <c r="AE554" i="4"/>
  <c r="AF554" i="4"/>
  <c r="AG554" i="4"/>
  <c r="AH554" i="4"/>
  <c r="AJ554" i="4"/>
  <c r="AK554" i="4"/>
  <c r="AL554" i="4"/>
  <c r="AO554" i="4"/>
  <c r="AP554" i="4"/>
  <c r="AV554" i="4"/>
  <c r="AW554" i="4"/>
  <c r="AX554" i="4"/>
  <c r="BC554" i="4"/>
  <c r="BD554" i="4"/>
  <c r="BF554" i="4"/>
  <c r="BH554" i="4"/>
  <c r="BI554" i="4"/>
  <c r="BJ554" i="4"/>
  <c r="I556" i="4"/>
  <c r="J556" i="4"/>
  <c r="K556" i="4"/>
  <c r="L556" i="4"/>
  <c r="AS556" i="4"/>
  <c r="AT556" i="4"/>
  <c r="AU556" i="4"/>
  <c r="I557" i="4"/>
  <c r="J557" i="4"/>
  <c r="K557" i="4"/>
  <c r="L557" i="4"/>
  <c r="Z557" i="4"/>
  <c r="AB557" i="4"/>
  <c r="AC557" i="4"/>
  <c r="AD557" i="4"/>
  <c r="AE557" i="4"/>
  <c r="AF557" i="4"/>
  <c r="AG557" i="4"/>
  <c r="AH557" i="4"/>
  <c r="AJ557" i="4"/>
  <c r="AK557" i="4"/>
  <c r="AL557" i="4"/>
  <c r="AO557" i="4"/>
  <c r="AP557" i="4"/>
  <c r="AV557" i="4"/>
  <c r="AW557" i="4"/>
  <c r="AX557" i="4"/>
  <c r="BC557" i="4"/>
  <c r="BD557" i="4"/>
  <c r="BF557" i="4"/>
  <c r="BH557" i="4"/>
  <c r="BI557" i="4"/>
  <c r="BJ557" i="4"/>
  <c r="I559" i="4"/>
  <c r="J559" i="4"/>
  <c r="K559" i="4"/>
  <c r="L559" i="4"/>
  <c r="Z559" i="4"/>
  <c r="AB559" i="4"/>
  <c r="AC559" i="4"/>
  <c r="AD559" i="4"/>
  <c r="AE559" i="4"/>
  <c r="AF559" i="4"/>
  <c r="AG559" i="4"/>
  <c r="AH559" i="4"/>
  <c r="AJ559" i="4"/>
  <c r="AK559" i="4"/>
  <c r="AL559" i="4"/>
  <c r="AO559" i="4"/>
  <c r="AP559" i="4"/>
  <c r="AV559" i="4"/>
  <c r="AW559" i="4"/>
  <c r="AX559" i="4"/>
  <c r="BC559" i="4"/>
  <c r="BD559" i="4"/>
  <c r="BF559" i="4"/>
  <c r="BH559" i="4"/>
  <c r="BI559" i="4"/>
  <c r="BJ559" i="4"/>
  <c r="I561" i="4"/>
  <c r="J561" i="4"/>
  <c r="K561" i="4"/>
  <c r="L561" i="4"/>
  <c r="Z561" i="4"/>
  <c r="AB561" i="4"/>
  <c r="AC561" i="4"/>
  <c r="AD561" i="4"/>
  <c r="AE561" i="4"/>
  <c r="AF561" i="4"/>
  <c r="AG561" i="4"/>
  <c r="AH561" i="4"/>
  <c r="AJ561" i="4"/>
  <c r="AK561" i="4"/>
  <c r="AL561" i="4"/>
  <c r="AO561" i="4"/>
  <c r="AP561" i="4"/>
  <c r="AV561" i="4"/>
  <c r="AW561" i="4"/>
  <c r="AX561" i="4"/>
  <c r="BC561" i="4"/>
  <c r="BD561" i="4"/>
  <c r="BF561" i="4"/>
  <c r="BH561" i="4"/>
  <c r="BI561" i="4"/>
  <c r="BJ561" i="4"/>
  <c r="I563" i="4"/>
  <c r="J563" i="4"/>
  <c r="K563" i="4"/>
  <c r="L563" i="4"/>
  <c r="Z563" i="4"/>
  <c r="AB563" i="4"/>
  <c r="AC563" i="4"/>
  <c r="AD563" i="4"/>
  <c r="AE563" i="4"/>
  <c r="AF563" i="4"/>
  <c r="AG563" i="4"/>
  <c r="AH563" i="4"/>
  <c r="AJ563" i="4"/>
  <c r="AK563" i="4"/>
  <c r="AL563" i="4"/>
  <c r="AO563" i="4"/>
  <c r="AP563" i="4"/>
  <c r="AV563" i="4"/>
  <c r="AW563" i="4"/>
  <c r="AX563" i="4"/>
  <c r="BC563" i="4"/>
  <c r="BD563" i="4"/>
  <c r="BF563" i="4"/>
  <c r="BH563" i="4"/>
  <c r="BI563" i="4"/>
  <c r="BJ563" i="4"/>
  <c r="I565" i="4"/>
  <c r="J565" i="4"/>
  <c r="K565" i="4"/>
  <c r="L565" i="4"/>
  <c r="AS565" i="4"/>
  <c r="AT565" i="4"/>
  <c r="AU565" i="4"/>
  <c r="I566" i="4"/>
  <c r="J566" i="4"/>
  <c r="K566" i="4"/>
  <c r="L566" i="4"/>
  <c r="Z566" i="4"/>
  <c r="AB566" i="4"/>
  <c r="AC566" i="4"/>
  <c r="AD566" i="4"/>
  <c r="AE566" i="4"/>
  <c r="AF566" i="4"/>
  <c r="AG566" i="4"/>
  <c r="AH566" i="4"/>
  <c r="AJ566" i="4"/>
  <c r="AK566" i="4"/>
  <c r="AL566" i="4"/>
  <c r="AO566" i="4"/>
  <c r="AP566" i="4"/>
  <c r="AV566" i="4"/>
  <c r="AW566" i="4"/>
  <c r="AX566" i="4"/>
  <c r="BC566" i="4"/>
  <c r="BD566" i="4"/>
  <c r="BF566" i="4"/>
  <c r="BH566" i="4"/>
  <c r="BI566" i="4"/>
  <c r="BJ566" i="4"/>
  <c r="I569" i="4"/>
  <c r="J569" i="4"/>
  <c r="K569" i="4"/>
  <c r="L569" i="4"/>
  <c r="Z569" i="4"/>
  <c r="AB569" i="4"/>
  <c r="AC569" i="4"/>
  <c r="AD569" i="4"/>
  <c r="AE569" i="4"/>
  <c r="AF569" i="4"/>
  <c r="AG569" i="4"/>
  <c r="AH569" i="4"/>
  <c r="AJ569" i="4"/>
  <c r="AK569" i="4"/>
  <c r="AL569" i="4"/>
  <c r="AO569" i="4"/>
  <c r="AP569" i="4"/>
  <c r="AV569" i="4"/>
  <c r="AW569" i="4"/>
  <c r="AX569" i="4"/>
  <c r="BC569" i="4"/>
  <c r="BD569" i="4"/>
  <c r="BF569" i="4"/>
  <c r="BH569" i="4"/>
  <c r="BI569" i="4"/>
  <c r="BJ569" i="4"/>
  <c r="I571" i="4"/>
  <c r="J571" i="4"/>
  <c r="K571" i="4"/>
  <c r="L571" i="4"/>
  <c r="Z571" i="4"/>
  <c r="AB571" i="4"/>
  <c r="AC571" i="4"/>
  <c r="AD571" i="4"/>
  <c r="AE571" i="4"/>
  <c r="AF571" i="4"/>
  <c r="AG571" i="4"/>
  <c r="AH571" i="4"/>
  <c r="AJ571" i="4"/>
  <c r="AK571" i="4"/>
  <c r="AL571" i="4"/>
  <c r="AO571" i="4"/>
  <c r="AP571" i="4"/>
  <c r="AV571" i="4"/>
  <c r="AW571" i="4"/>
  <c r="AX571" i="4"/>
  <c r="BC571" i="4"/>
  <c r="BD571" i="4"/>
  <c r="BF571" i="4"/>
  <c r="BH571" i="4"/>
  <c r="BI571" i="4"/>
  <c r="BJ571" i="4"/>
  <c r="I572" i="4"/>
  <c r="J572" i="4"/>
  <c r="K572" i="4"/>
  <c r="L572" i="4"/>
  <c r="Z572" i="4"/>
  <c r="AB572" i="4"/>
  <c r="AC572" i="4"/>
  <c r="AD572" i="4"/>
  <c r="AE572" i="4"/>
  <c r="AF572" i="4"/>
  <c r="AG572" i="4"/>
  <c r="AH572" i="4"/>
  <c r="AJ572" i="4"/>
  <c r="AK572" i="4"/>
  <c r="AL572" i="4"/>
  <c r="AO572" i="4"/>
  <c r="AP572" i="4"/>
  <c r="AV572" i="4"/>
  <c r="AW572" i="4"/>
  <c r="AX572" i="4"/>
  <c r="BC572" i="4"/>
  <c r="BD572" i="4"/>
  <c r="BF572" i="4"/>
  <c r="BH572" i="4"/>
  <c r="BI572" i="4"/>
  <c r="BJ572" i="4"/>
  <c r="I573" i="4"/>
  <c r="J573" i="4"/>
  <c r="K573" i="4"/>
  <c r="L573" i="4"/>
  <c r="AS573" i="4"/>
  <c r="AT573" i="4"/>
  <c r="AU573" i="4"/>
  <c r="I574" i="4"/>
  <c r="J574" i="4"/>
  <c r="K574" i="4"/>
  <c r="L574" i="4"/>
  <c r="Z574" i="4"/>
  <c r="AB574" i="4"/>
  <c r="AC574" i="4"/>
  <c r="AD574" i="4"/>
  <c r="AE574" i="4"/>
  <c r="AF574" i="4"/>
  <c r="AG574" i="4"/>
  <c r="AH574" i="4"/>
  <c r="AJ574" i="4"/>
  <c r="AK574" i="4"/>
  <c r="AL574" i="4"/>
  <c r="AO574" i="4"/>
  <c r="AP574" i="4"/>
  <c r="AV574" i="4"/>
  <c r="AW574" i="4"/>
  <c r="AX574" i="4"/>
  <c r="BC574" i="4"/>
  <c r="BD574" i="4"/>
  <c r="BF574" i="4"/>
  <c r="BH574" i="4"/>
  <c r="BI574" i="4"/>
  <c r="BJ574" i="4"/>
  <c r="I576" i="4"/>
  <c r="J576" i="4"/>
  <c r="K576" i="4"/>
  <c r="L576" i="4"/>
  <c r="Z576" i="4"/>
  <c r="AB576" i="4"/>
  <c r="AC576" i="4"/>
  <c r="AD576" i="4"/>
  <c r="AE576" i="4"/>
  <c r="AF576" i="4"/>
  <c r="AG576" i="4"/>
  <c r="AH576" i="4"/>
  <c r="AJ576" i="4"/>
  <c r="AK576" i="4"/>
  <c r="AL576" i="4"/>
  <c r="AO576" i="4"/>
  <c r="AP576" i="4"/>
  <c r="AV576" i="4"/>
  <c r="AW576" i="4"/>
  <c r="AX576" i="4"/>
  <c r="BC576" i="4"/>
  <c r="BD576" i="4"/>
  <c r="BF576" i="4"/>
  <c r="BH576" i="4"/>
  <c r="BI576" i="4"/>
  <c r="BJ576" i="4"/>
  <c r="I578" i="4"/>
  <c r="J578" i="4"/>
  <c r="K578" i="4"/>
  <c r="L578" i="4"/>
  <c r="Z578" i="4"/>
  <c r="AB578" i="4"/>
  <c r="AC578" i="4"/>
  <c r="AD578" i="4"/>
  <c r="AE578" i="4"/>
  <c r="AF578" i="4"/>
  <c r="AG578" i="4"/>
  <c r="AH578" i="4"/>
  <c r="AJ578" i="4"/>
  <c r="AK578" i="4"/>
  <c r="AL578" i="4"/>
  <c r="AO578" i="4"/>
  <c r="AP578" i="4"/>
  <c r="AV578" i="4"/>
  <c r="AW578" i="4"/>
  <c r="AX578" i="4"/>
  <c r="BC578" i="4"/>
  <c r="BD578" i="4"/>
  <c r="BF578" i="4"/>
  <c r="BH578" i="4"/>
  <c r="BI578" i="4"/>
  <c r="BJ578" i="4"/>
  <c r="I580" i="4"/>
  <c r="J580" i="4"/>
  <c r="K580" i="4"/>
  <c r="L580" i="4"/>
  <c r="Z580" i="4"/>
  <c r="AB580" i="4"/>
  <c r="AC580" i="4"/>
  <c r="AD580" i="4"/>
  <c r="AE580" i="4"/>
  <c r="AF580" i="4"/>
  <c r="AG580" i="4"/>
  <c r="AH580" i="4"/>
  <c r="AJ580" i="4"/>
  <c r="AK580" i="4"/>
  <c r="AL580" i="4"/>
  <c r="AO580" i="4"/>
  <c r="AP580" i="4"/>
  <c r="AV580" i="4"/>
  <c r="AW580" i="4"/>
  <c r="AX580" i="4"/>
  <c r="BC580" i="4"/>
  <c r="BD580" i="4"/>
  <c r="BF580" i="4"/>
  <c r="BH580" i="4"/>
  <c r="BI580" i="4"/>
  <c r="BJ580" i="4"/>
  <c r="I583" i="4"/>
  <c r="J583" i="4"/>
  <c r="K583" i="4"/>
  <c r="L583" i="4"/>
  <c r="Z583" i="4"/>
  <c r="AB583" i="4"/>
  <c r="AC583" i="4"/>
  <c r="AD583" i="4"/>
  <c r="AE583" i="4"/>
  <c r="AF583" i="4"/>
  <c r="AG583" i="4"/>
  <c r="AH583" i="4"/>
  <c r="AJ583" i="4"/>
  <c r="AK583" i="4"/>
  <c r="AL583" i="4"/>
  <c r="AO583" i="4"/>
  <c r="AP583" i="4"/>
  <c r="AV583" i="4"/>
  <c r="AW583" i="4"/>
  <c r="AX583" i="4"/>
  <c r="BC583" i="4"/>
  <c r="BD583" i="4"/>
  <c r="BF583" i="4"/>
  <c r="BH583" i="4"/>
  <c r="BI583" i="4"/>
  <c r="BJ583" i="4"/>
  <c r="I586" i="4"/>
  <c r="J586" i="4"/>
  <c r="K586" i="4"/>
  <c r="L586" i="4"/>
  <c r="Z586" i="4"/>
  <c r="AB586" i="4"/>
  <c r="AC586" i="4"/>
  <c r="AD586" i="4"/>
  <c r="AE586" i="4"/>
  <c r="AF586" i="4"/>
  <c r="AG586" i="4"/>
  <c r="AH586" i="4"/>
  <c r="AJ586" i="4"/>
  <c r="AK586" i="4"/>
  <c r="AL586" i="4"/>
  <c r="AO586" i="4"/>
  <c r="AP586" i="4"/>
  <c r="AV586" i="4"/>
  <c r="AW586" i="4"/>
  <c r="AX586" i="4"/>
  <c r="BC586" i="4"/>
  <c r="BD586" i="4"/>
  <c r="BF586" i="4"/>
  <c r="BH586" i="4"/>
  <c r="BI586" i="4"/>
  <c r="BJ586" i="4"/>
  <c r="I588" i="4"/>
  <c r="J588" i="4"/>
  <c r="K588" i="4"/>
  <c r="L588" i="4"/>
  <c r="Z588" i="4"/>
  <c r="AB588" i="4"/>
  <c r="AC588" i="4"/>
  <c r="AD588" i="4"/>
  <c r="AE588" i="4"/>
  <c r="AF588" i="4"/>
  <c r="AG588" i="4"/>
  <c r="AH588" i="4"/>
  <c r="AJ588" i="4"/>
  <c r="AK588" i="4"/>
  <c r="AL588" i="4"/>
  <c r="AO588" i="4"/>
  <c r="AP588" i="4"/>
  <c r="AV588" i="4"/>
  <c r="AW588" i="4"/>
  <c r="AX588" i="4"/>
  <c r="BC588" i="4"/>
  <c r="BD588" i="4"/>
  <c r="BF588" i="4"/>
  <c r="BH588" i="4"/>
  <c r="BI588" i="4"/>
  <c r="BJ588" i="4"/>
  <c r="I590" i="4"/>
  <c r="J590" i="4"/>
  <c r="K590" i="4"/>
  <c r="L590" i="4"/>
  <c r="Z590" i="4"/>
  <c r="AB590" i="4"/>
  <c r="AC590" i="4"/>
  <c r="AD590" i="4"/>
  <c r="AE590" i="4"/>
  <c r="AF590" i="4"/>
  <c r="AG590" i="4"/>
  <c r="AH590" i="4"/>
  <c r="AJ590" i="4"/>
  <c r="AK590" i="4"/>
  <c r="AL590" i="4"/>
  <c r="AO590" i="4"/>
  <c r="AP590" i="4"/>
  <c r="AV590" i="4"/>
  <c r="AW590" i="4"/>
  <c r="AX590" i="4"/>
  <c r="BC590" i="4"/>
  <c r="BD590" i="4"/>
  <c r="BF590" i="4"/>
  <c r="BH590" i="4"/>
  <c r="BI590" i="4"/>
  <c r="BJ590" i="4"/>
  <c r="I593" i="4"/>
  <c r="J593" i="4"/>
  <c r="K593" i="4"/>
  <c r="L593" i="4"/>
  <c r="Z593" i="4"/>
  <c r="AB593" i="4"/>
  <c r="AC593" i="4"/>
  <c r="AD593" i="4"/>
  <c r="AE593" i="4"/>
  <c r="AF593" i="4"/>
  <c r="AG593" i="4"/>
  <c r="AH593" i="4"/>
  <c r="AJ593" i="4"/>
  <c r="AK593" i="4"/>
  <c r="AL593" i="4"/>
  <c r="AO593" i="4"/>
  <c r="AP593" i="4"/>
  <c r="AV593" i="4"/>
  <c r="AW593" i="4"/>
  <c r="AX593" i="4"/>
  <c r="BC593" i="4"/>
  <c r="BD593" i="4"/>
  <c r="BF593" i="4"/>
  <c r="BH593" i="4"/>
  <c r="BI593" i="4"/>
  <c r="BJ593" i="4"/>
  <c r="I596" i="4"/>
  <c r="J596" i="4"/>
  <c r="K596" i="4"/>
  <c r="L596" i="4"/>
  <c r="Z596" i="4"/>
  <c r="AB596" i="4"/>
  <c r="AC596" i="4"/>
  <c r="AD596" i="4"/>
  <c r="AE596" i="4"/>
  <c r="AF596" i="4"/>
  <c r="AG596" i="4"/>
  <c r="AH596" i="4"/>
  <c r="AJ596" i="4"/>
  <c r="AK596" i="4"/>
  <c r="AL596" i="4"/>
  <c r="AO596" i="4"/>
  <c r="AP596" i="4"/>
  <c r="AV596" i="4"/>
  <c r="AW596" i="4"/>
  <c r="AX596" i="4"/>
  <c r="BC596" i="4"/>
  <c r="BD596" i="4"/>
  <c r="BF596" i="4"/>
  <c r="BH596" i="4"/>
  <c r="BI596" i="4"/>
  <c r="BJ596" i="4"/>
  <c r="I598" i="4"/>
  <c r="J598" i="4"/>
  <c r="K598" i="4"/>
  <c r="L598" i="4"/>
  <c r="AS598" i="4"/>
  <c r="AT598" i="4"/>
  <c r="AU598" i="4"/>
  <c r="I599" i="4"/>
  <c r="J599" i="4"/>
  <c r="K599" i="4"/>
  <c r="L599" i="4"/>
  <c r="Z599" i="4"/>
  <c r="AB599" i="4"/>
  <c r="AC599" i="4"/>
  <c r="AD599" i="4"/>
  <c r="AE599" i="4"/>
  <c r="AF599" i="4"/>
  <c r="AG599" i="4"/>
  <c r="AH599" i="4"/>
  <c r="AJ599" i="4"/>
  <c r="AK599" i="4"/>
  <c r="AL599" i="4"/>
  <c r="AO599" i="4"/>
  <c r="AP599" i="4"/>
  <c r="AV599" i="4"/>
  <c r="AW599" i="4"/>
  <c r="AX599" i="4"/>
  <c r="BC599" i="4"/>
  <c r="BD599" i="4"/>
  <c r="BF599" i="4"/>
  <c r="BH599" i="4"/>
  <c r="BI599" i="4"/>
  <c r="BJ599" i="4"/>
  <c r="I601" i="4"/>
  <c r="J601" i="4"/>
  <c r="K601" i="4"/>
  <c r="L601" i="4"/>
  <c r="Z601" i="4"/>
  <c r="AB601" i="4"/>
  <c r="AC601" i="4"/>
  <c r="AD601" i="4"/>
  <c r="AE601" i="4"/>
  <c r="AF601" i="4"/>
  <c r="AG601" i="4"/>
  <c r="AH601" i="4"/>
  <c r="AJ601" i="4"/>
  <c r="AK601" i="4"/>
  <c r="AL601" i="4"/>
  <c r="AO601" i="4"/>
  <c r="AP601" i="4"/>
  <c r="AV601" i="4"/>
  <c r="AW601" i="4"/>
  <c r="AX601" i="4"/>
  <c r="BC601" i="4"/>
  <c r="BD601" i="4"/>
  <c r="BF601" i="4"/>
  <c r="BH601" i="4"/>
  <c r="BI601" i="4"/>
  <c r="BJ601" i="4"/>
  <c r="I603" i="4"/>
  <c r="J603" i="4"/>
  <c r="K603" i="4"/>
  <c r="L603" i="4"/>
  <c r="Z603" i="4"/>
  <c r="AB603" i="4"/>
  <c r="AC603" i="4"/>
  <c r="AD603" i="4"/>
  <c r="AE603" i="4"/>
  <c r="AF603" i="4"/>
  <c r="AG603" i="4"/>
  <c r="AH603" i="4"/>
  <c r="AJ603" i="4"/>
  <c r="AK603" i="4"/>
  <c r="AL603" i="4"/>
  <c r="AO603" i="4"/>
  <c r="AP603" i="4"/>
  <c r="AV603" i="4"/>
  <c r="AW603" i="4"/>
  <c r="AX603" i="4"/>
  <c r="BC603" i="4"/>
  <c r="BD603" i="4"/>
  <c r="BF603" i="4"/>
  <c r="BH603" i="4"/>
  <c r="BI603" i="4"/>
  <c r="BJ603" i="4"/>
  <c r="I604" i="4"/>
  <c r="J604" i="4"/>
  <c r="K604" i="4"/>
  <c r="L604" i="4"/>
  <c r="AS604" i="4"/>
  <c r="AT604" i="4"/>
  <c r="AU604" i="4"/>
  <c r="I605" i="4"/>
  <c r="J605" i="4"/>
  <c r="K605" i="4"/>
  <c r="L605" i="4"/>
  <c r="Z605" i="4"/>
  <c r="AB605" i="4"/>
  <c r="AC605" i="4"/>
  <c r="AD605" i="4"/>
  <c r="AE605" i="4"/>
  <c r="AF605" i="4"/>
  <c r="AG605" i="4"/>
  <c r="AH605" i="4"/>
  <c r="AJ605" i="4"/>
  <c r="AK605" i="4"/>
  <c r="AL605" i="4"/>
  <c r="AO605" i="4"/>
  <c r="AP605" i="4"/>
  <c r="AV605" i="4"/>
  <c r="AW605" i="4"/>
  <c r="AX605" i="4"/>
  <c r="BC605" i="4"/>
  <c r="BD605" i="4"/>
  <c r="BF605" i="4"/>
  <c r="BH605" i="4"/>
  <c r="BI605" i="4"/>
  <c r="BJ605" i="4"/>
  <c r="I607" i="4"/>
  <c r="J607" i="4"/>
  <c r="K607" i="4"/>
  <c r="L607" i="4"/>
  <c r="AS607" i="4"/>
  <c r="AT607" i="4"/>
  <c r="AU607" i="4"/>
  <c r="I608" i="4"/>
  <c r="J608" i="4"/>
  <c r="K608" i="4"/>
  <c r="L608" i="4"/>
  <c r="Z608" i="4"/>
  <c r="AB608" i="4"/>
  <c r="AC608" i="4"/>
  <c r="AD608" i="4"/>
  <c r="AE608" i="4"/>
  <c r="AF608" i="4"/>
  <c r="AG608" i="4"/>
  <c r="AH608" i="4"/>
  <c r="AJ608" i="4"/>
  <c r="AK608" i="4"/>
  <c r="AL608" i="4"/>
  <c r="AO608" i="4"/>
  <c r="AP608" i="4"/>
  <c r="AV608" i="4"/>
  <c r="AW608" i="4"/>
  <c r="AX608" i="4"/>
  <c r="BC608" i="4"/>
  <c r="BD608" i="4"/>
  <c r="BF608" i="4"/>
  <c r="BH608" i="4"/>
  <c r="BI608" i="4"/>
  <c r="BJ608" i="4"/>
  <c r="I611" i="4"/>
  <c r="J611" i="4"/>
  <c r="K611" i="4"/>
  <c r="L611" i="4"/>
  <c r="Z611" i="4"/>
  <c r="AB611" i="4"/>
  <c r="AC611" i="4"/>
  <c r="AD611" i="4"/>
  <c r="AE611" i="4"/>
  <c r="AF611" i="4"/>
  <c r="AG611" i="4"/>
  <c r="AH611" i="4"/>
  <c r="AJ611" i="4"/>
  <c r="AK611" i="4"/>
  <c r="AL611" i="4"/>
  <c r="AO611" i="4"/>
  <c r="AP611" i="4"/>
  <c r="AV611" i="4"/>
  <c r="AW611" i="4"/>
  <c r="AX611" i="4"/>
  <c r="BC611" i="4"/>
  <c r="BD611" i="4"/>
  <c r="BF611" i="4"/>
  <c r="BH611" i="4"/>
  <c r="BI611" i="4"/>
  <c r="BJ611" i="4"/>
  <c r="I613" i="4"/>
  <c r="J613" i="4"/>
  <c r="K613" i="4"/>
  <c r="L613" i="4"/>
  <c r="Z613" i="4"/>
  <c r="AB613" i="4"/>
  <c r="AC613" i="4"/>
  <c r="AD613" i="4"/>
  <c r="AE613" i="4"/>
  <c r="AF613" i="4"/>
  <c r="AG613" i="4"/>
  <c r="AH613" i="4"/>
  <c r="AJ613" i="4"/>
  <c r="AK613" i="4"/>
  <c r="AL613" i="4"/>
  <c r="AO613" i="4"/>
  <c r="AP613" i="4"/>
  <c r="AV613" i="4"/>
  <c r="AW613" i="4"/>
  <c r="AX613" i="4"/>
  <c r="BC613" i="4"/>
  <c r="BD613" i="4"/>
  <c r="BF613" i="4"/>
  <c r="BH613" i="4"/>
  <c r="BI613" i="4"/>
  <c r="BJ613" i="4"/>
  <c r="I615" i="4"/>
  <c r="J615" i="4"/>
  <c r="K615" i="4"/>
  <c r="L615" i="4"/>
  <c r="Z615" i="4"/>
  <c r="AB615" i="4"/>
  <c r="AC615" i="4"/>
  <c r="AD615" i="4"/>
  <c r="AE615" i="4"/>
  <c r="AF615" i="4"/>
  <c r="AG615" i="4"/>
  <c r="AH615" i="4"/>
  <c r="AJ615" i="4"/>
  <c r="AK615" i="4"/>
  <c r="AL615" i="4"/>
  <c r="AO615" i="4"/>
  <c r="AP615" i="4"/>
  <c r="AV615" i="4"/>
  <c r="AW615" i="4"/>
  <c r="AX615" i="4"/>
  <c r="BC615" i="4"/>
  <c r="BD615" i="4"/>
  <c r="BF615" i="4"/>
  <c r="BH615" i="4"/>
  <c r="BI615" i="4"/>
  <c r="BJ615" i="4"/>
  <c r="I618" i="4"/>
  <c r="J618" i="4"/>
  <c r="K618" i="4"/>
  <c r="L618" i="4"/>
  <c r="Z618" i="4"/>
  <c r="AB618" i="4"/>
  <c r="AC618" i="4"/>
  <c r="AD618" i="4"/>
  <c r="AE618" i="4"/>
  <c r="AF618" i="4"/>
  <c r="AG618" i="4"/>
  <c r="AH618" i="4"/>
  <c r="AJ618" i="4"/>
  <c r="AK618" i="4"/>
  <c r="AL618" i="4"/>
  <c r="AO618" i="4"/>
  <c r="AP618" i="4"/>
  <c r="AV618" i="4"/>
  <c r="AW618" i="4"/>
  <c r="AX618" i="4"/>
  <c r="BC618" i="4"/>
  <c r="BD618" i="4"/>
  <c r="BF618" i="4"/>
  <c r="BH618" i="4"/>
  <c r="BI618" i="4"/>
  <c r="BJ618" i="4"/>
  <c r="I620" i="4"/>
  <c r="J620" i="4"/>
  <c r="K620" i="4"/>
  <c r="L620" i="4"/>
  <c r="Z620" i="4"/>
  <c r="AB620" i="4"/>
  <c r="AC620" i="4"/>
  <c r="AD620" i="4"/>
  <c r="AE620" i="4"/>
  <c r="AF620" i="4"/>
  <c r="AG620" i="4"/>
  <c r="AH620" i="4"/>
  <c r="AJ620" i="4"/>
  <c r="AK620" i="4"/>
  <c r="AL620" i="4"/>
  <c r="AO620" i="4"/>
  <c r="AP620" i="4"/>
  <c r="AV620" i="4"/>
  <c r="AW620" i="4"/>
  <c r="AX620" i="4"/>
  <c r="BC620" i="4"/>
  <c r="BD620" i="4"/>
  <c r="BF620" i="4"/>
  <c r="BH620" i="4"/>
  <c r="BI620" i="4"/>
  <c r="BJ620" i="4"/>
  <c r="I622" i="4"/>
  <c r="J622" i="4"/>
  <c r="K622" i="4"/>
  <c r="L622" i="4"/>
  <c r="I623" i="4"/>
  <c r="J623" i="4"/>
  <c r="K623" i="4"/>
  <c r="L623" i="4"/>
  <c r="AS623" i="4"/>
  <c r="AT623" i="4"/>
  <c r="AU623" i="4"/>
  <c r="I624" i="4"/>
  <c r="J624" i="4"/>
  <c r="K624" i="4"/>
  <c r="L624" i="4"/>
  <c r="Z624" i="4"/>
  <c r="AB624" i="4"/>
  <c r="AC624" i="4"/>
  <c r="AD624" i="4"/>
  <c r="AE624" i="4"/>
  <c r="AF624" i="4"/>
  <c r="AG624" i="4"/>
  <c r="AH624" i="4"/>
  <c r="AJ624" i="4"/>
  <c r="AK624" i="4"/>
  <c r="AL624" i="4"/>
  <c r="AO624" i="4"/>
  <c r="AP624" i="4"/>
  <c r="AV624" i="4"/>
  <c r="AW624" i="4"/>
  <c r="AX624" i="4"/>
  <c r="BC624" i="4"/>
  <c r="BD624" i="4"/>
  <c r="BF624" i="4"/>
  <c r="BH624" i="4"/>
  <c r="BI624" i="4"/>
  <c r="BJ624" i="4"/>
  <c r="I627" i="4"/>
  <c r="J627" i="4"/>
  <c r="K627" i="4"/>
  <c r="L627" i="4"/>
  <c r="I628" i="4"/>
  <c r="J628" i="4"/>
  <c r="K628" i="4"/>
  <c r="L628" i="4"/>
  <c r="AS628" i="4"/>
  <c r="AT628" i="4"/>
  <c r="AU628" i="4"/>
  <c r="I629" i="4"/>
  <c r="J629" i="4"/>
  <c r="K629" i="4"/>
  <c r="L629" i="4"/>
  <c r="Z629" i="4"/>
  <c r="AB629" i="4"/>
  <c r="AC629" i="4"/>
  <c r="AD629" i="4"/>
  <c r="AE629" i="4"/>
  <c r="AF629" i="4"/>
  <c r="AG629" i="4"/>
  <c r="AH629" i="4"/>
  <c r="AJ629" i="4"/>
  <c r="AK629" i="4"/>
  <c r="AL629" i="4"/>
  <c r="AO629" i="4"/>
  <c r="AP629" i="4"/>
  <c r="AV629" i="4"/>
  <c r="AW629" i="4"/>
  <c r="AX629" i="4"/>
  <c r="BC629" i="4"/>
  <c r="BD629" i="4"/>
  <c r="BF629" i="4"/>
  <c r="BH629" i="4"/>
  <c r="BI629" i="4"/>
  <c r="BJ629" i="4"/>
  <c r="I631" i="4"/>
  <c r="J631" i="4"/>
  <c r="K631" i="4"/>
  <c r="L631" i="4"/>
  <c r="Z631" i="4"/>
  <c r="AB631" i="4"/>
  <c r="AC631" i="4"/>
  <c r="AD631" i="4"/>
  <c r="AE631" i="4"/>
  <c r="AF631" i="4"/>
  <c r="AG631" i="4"/>
  <c r="AH631" i="4"/>
  <c r="AJ631" i="4"/>
  <c r="AK631" i="4"/>
  <c r="AL631" i="4"/>
  <c r="AO631" i="4"/>
  <c r="AP631" i="4"/>
  <c r="AV631" i="4"/>
  <c r="AW631" i="4"/>
  <c r="AX631" i="4"/>
  <c r="BC631" i="4"/>
  <c r="BD631" i="4"/>
  <c r="BF631" i="4"/>
  <c r="BH631" i="4"/>
  <c r="BI631" i="4"/>
  <c r="BJ631" i="4"/>
  <c r="I632" i="4"/>
  <c r="J632" i="4"/>
  <c r="K632" i="4"/>
  <c r="L632" i="4"/>
  <c r="Z632" i="4"/>
  <c r="AB632" i="4"/>
  <c r="AC632" i="4"/>
  <c r="AD632" i="4"/>
  <c r="AE632" i="4"/>
  <c r="AF632" i="4"/>
  <c r="AG632" i="4"/>
  <c r="AH632" i="4"/>
  <c r="AJ632" i="4"/>
  <c r="AK632" i="4"/>
  <c r="AL632" i="4"/>
  <c r="AO632" i="4"/>
  <c r="AP632" i="4"/>
  <c r="AV632" i="4"/>
  <c r="AW632" i="4"/>
  <c r="AX632" i="4"/>
  <c r="BC632" i="4"/>
  <c r="BD632" i="4"/>
  <c r="BF632" i="4"/>
  <c r="BH632" i="4"/>
  <c r="BI632" i="4"/>
  <c r="BJ632" i="4"/>
  <c r="I633" i="4"/>
  <c r="J633" i="4"/>
  <c r="K633" i="4"/>
  <c r="L633" i="4"/>
  <c r="Z633" i="4"/>
  <c r="AB633" i="4"/>
  <c r="AC633" i="4"/>
  <c r="AD633" i="4"/>
  <c r="AE633" i="4"/>
  <c r="AF633" i="4"/>
  <c r="AG633" i="4"/>
  <c r="AH633" i="4"/>
  <c r="AJ633" i="4"/>
  <c r="AK633" i="4"/>
  <c r="AL633" i="4"/>
  <c r="AO633" i="4"/>
  <c r="AP633" i="4"/>
  <c r="AV633" i="4"/>
  <c r="AW633" i="4"/>
  <c r="AX633" i="4"/>
  <c r="BC633" i="4"/>
  <c r="BD633" i="4"/>
  <c r="BF633" i="4"/>
  <c r="BH633" i="4"/>
  <c r="BI633" i="4"/>
  <c r="BJ633" i="4"/>
  <c r="I634" i="4"/>
  <c r="J634" i="4"/>
  <c r="K634" i="4"/>
  <c r="L634" i="4"/>
  <c r="Z634" i="4"/>
  <c r="AB634" i="4"/>
  <c r="AC634" i="4"/>
  <c r="AD634" i="4"/>
  <c r="AE634" i="4"/>
  <c r="AF634" i="4"/>
  <c r="AG634" i="4"/>
  <c r="AH634" i="4"/>
  <c r="AJ634" i="4"/>
  <c r="AK634" i="4"/>
  <c r="AL634" i="4"/>
  <c r="AO634" i="4"/>
  <c r="AP634" i="4"/>
  <c r="AV634" i="4"/>
  <c r="AW634" i="4"/>
  <c r="AX634" i="4"/>
  <c r="BC634" i="4"/>
  <c r="BD634" i="4"/>
  <c r="BF634" i="4"/>
  <c r="BH634" i="4"/>
  <c r="BI634" i="4"/>
  <c r="BJ634" i="4"/>
  <c r="I635" i="4"/>
  <c r="J635" i="4"/>
  <c r="K635" i="4"/>
  <c r="L635" i="4"/>
  <c r="Z635" i="4"/>
  <c r="AB635" i="4"/>
  <c r="AC635" i="4"/>
  <c r="AD635" i="4"/>
  <c r="AE635" i="4"/>
  <c r="AF635" i="4"/>
  <c r="AG635" i="4"/>
  <c r="AH635" i="4"/>
  <c r="AJ635" i="4"/>
  <c r="AK635" i="4"/>
  <c r="AL635" i="4"/>
  <c r="AO635" i="4"/>
  <c r="AP635" i="4"/>
  <c r="AV635" i="4"/>
  <c r="AW635" i="4"/>
  <c r="AX635" i="4"/>
  <c r="BC635" i="4"/>
  <c r="BD635" i="4"/>
  <c r="BF635" i="4"/>
  <c r="BH635" i="4"/>
  <c r="BI635" i="4"/>
  <c r="BJ635" i="4"/>
  <c r="I636" i="4"/>
  <c r="J636" i="4"/>
  <c r="K636" i="4"/>
  <c r="L636" i="4"/>
  <c r="Z636" i="4"/>
  <c r="AB636" i="4"/>
  <c r="AC636" i="4"/>
  <c r="AD636" i="4"/>
  <c r="AE636" i="4"/>
  <c r="AF636" i="4"/>
  <c r="AG636" i="4"/>
  <c r="AH636" i="4"/>
  <c r="AJ636" i="4"/>
  <c r="AK636" i="4"/>
  <c r="AL636" i="4"/>
  <c r="AO636" i="4"/>
  <c r="AP636" i="4"/>
  <c r="AV636" i="4"/>
  <c r="AW636" i="4"/>
  <c r="AX636" i="4"/>
  <c r="BC636" i="4"/>
  <c r="BD636" i="4"/>
  <c r="BF636" i="4"/>
  <c r="BH636" i="4"/>
  <c r="BI636" i="4"/>
  <c r="BJ636" i="4"/>
  <c r="I638" i="4"/>
  <c r="J638" i="4"/>
  <c r="K638" i="4"/>
  <c r="L638" i="4"/>
  <c r="Z638" i="4"/>
  <c r="AB638" i="4"/>
  <c r="AC638" i="4"/>
  <c r="AD638" i="4"/>
  <c r="AE638" i="4"/>
  <c r="AF638" i="4"/>
  <c r="AG638" i="4"/>
  <c r="AH638" i="4"/>
  <c r="AJ638" i="4"/>
  <c r="AK638" i="4"/>
  <c r="AL638" i="4"/>
  <c r="AO638" i="4"/>
  <c r="AP638" i="4"/>
  <c r="AV638" i="4"/>
  <c r="AW638" i="4"/>
  <c r="AX638" i="4"/>
  <c r="BC638" i="4"/>
  <c r="BD638" i="4"/>
  <c r="BF638" i="4"/>
  <c r="BH638" i="4"/>
  <c r="BI638" i="4"/>
  <c r="BJ638" i="4"/>
  <c r="I639" i="4"/>
  <c r="J639" i="4"/>
  <c r="K639" i="4"/>
  <c r="L639" i="4"/>
  <c r="Z639" i="4"/>
  <c r="AB639" i="4"/>
  <c r="AC639" i="4"/>
  <c r="AD639" i="4"/>
  <c r="AE639" i="4"/>
  <c r="AF639" i="4"/>
  <c r="AG639" i="4"/>
  <c r="AH639" i="4"/>
  <c r="AJ639" i="4"/>
  <c r="AK639" i="4"/>
  <c r="AL639" i="4"/>
  <c r="AO639" i="4"/>
  <c r="AP639" i="4"/>
  <c r="AV639" i="4"/>
  <c r="AW639" i="4"/>
  <c r="AX639" i="4"/>
  <c r="BC639" i="4"/>
  <c r="BD639" i="4"/>
  <c r="BF639" i="4"/>
  <c r="BH639" i="4"/>
  <c r="BI639" i="4"/>
  <c r="BJ639" i="4"/>
  <c r="I640" i="4"/>
  <c r="J640" i="4"/>
  <c r="K640" i="4"/>
  <c r="L640" i="4"/>
  <c r="Z640" i="4"/>
  <c r="AB640" i="4"/>
  <c r="AC640" i="4"/>
  <c r="AD640" i="4"/>
  <c r="AE640" i="4"/>
  <c r="AF640" i="4"/>
  <c r="AG640" i="4"/>
  <c r="AH640" i="4"/>
  <c r="AJ640" i="4"/>
  <c r="AK640" i="4"/>
  <c r="AL640" i="4"/>
  <c r="AO640" i="4"/>
  <c r="AP640" i="4"/>
  <c r="AV640" i="4"/>
  <c r="AW640" i="4"/>
  <c r="AX640" i="4"/>
  <c r="BC640" i="4"/>
  <c r="BD640" i="4"/>
  <c r="BF640" i="4"/>
  <c r="BH640" i="4"/>
  <c r="BI640" i="4"/>
  <c r="BJ640" i="4"/>
  <c r="I641" i="4"/>
  <c r="J641" i="4"/>
  <c r="K641" i="4"/>
  <c r="L641" i="4"/>
  <c r="Z641" i="4"/>
  <c r="AB641" i="4"/>
  <c r="AC641" i="4"/>
  <c r="AD641" i="4"/>
  <c r="AE641" i="4"/>
  <c r="AF641" i="4"/>
  <c r="AG641" i="4"/>
  <c r="AH641" i="4"/>
  <c r="AJ641" i="4"/>
  <c r="AK641" i="4"/>
  <c r="AL641" i="4"/>
  <c r="AO641" i="4"/>
  <c r="AP641" i="4"/>
  <c r="AV641" i="4"/>
  <c r="AW641" i="4"/>
  <c r="AX641" i="4"/>
  <c r="BC641" i="4"/>
  <c r="BD641" i="4"/>
  <c r="BF641" i="4"/>
  <c r="BH641" i="4"/>
  <c r="BI641" i="4"/>
  <c r="BJ641" i="4"/>
  <c r="K642" i="4"/>
  <c r="AS13" i="4"/>
  <c r="K12" i="4"/>
  <c r="K12" i="2"/>
  <c r="P12" i="2"/>
  <c r="K18" i="2"/>
  <c r="C22" i="1"/>
  <c r="I27" i="1"/>
  <c r="I28" i="1"/>
  <c r="K12" i="3"/>
  <c r="P12" i="3"/>
  <c r="J14" i="4"/>
  <c r="J13" i="4"/>
  <c r="AW14" i="4"/>
  <c r="I14" i="4"/>
  <c r="I13" i="4"/>
  <c r="AU13" i="4"/>
  <c r="J13" i="3"/>
  <c r="J12" i="4"/>
  <c r="I13" i="3"/>
  <c r="I12" i="4"/>
  <c r="AV14" i="4"/>
  <c r="BC14" i="4"/>
  <c r="I12" i="2"/>
  <c r="I12" i="3"/>
  <c r="J12" i="2"/>
  <c r="J12" i="3"/>
</calcChain>
</file>

<file path=xl/sharedStrings.xml><?xml version="1.0" encoding="utf-8"?>
<sst xmlns="http://schemas.openxmlformats.org/spreadsheetml/2006/main" count="3997" uniqueCount="1169">
  <si>
    <t>Název stavby:</t>
  </si>
  <si>
    <t>Specifikace stavby:</t>
  </si>
  <si>
    <t>Lokalita/Adresa:</t>
  </si>
  <si>
    <t>Začátek výstavby:</t>
  </si>
  <si>
    <t>JKSO: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</si>
  <si>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</si>
  <si>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</si>
  <si>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</si>
  <si>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</si>
  <si>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</si>
  <si>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</si>
  <si>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</si>
  <si>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</si>
  <si>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</si>
  <si>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21%</t>
  </si>
  <si>
    <t>Projektant</t>
  </si>
  <si>
    <t>Datum, razítko a podpis</t>
  </si>
  <si>
    <t>Poznámka:</t>
  </si>
  <si>
    <t>Rozpočet je zpracován dle PD arch. č. 210933/Vra z 9/2021._x000D_
Rozpočet je vypracován dle cenové úrovně RTS II/2021._x000D_
Dodavatel je oprávněn vyplnit pouze jednotkovou cenu.</t>
  </si>
  <si>
    <t>Základní rozpočtové náklady</t>
  </si>
  <si>
    <t>Dodávky</t>
  </si>
  <si>
    <t>Montáž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</si>
  <si>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</si>
  <si>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</si>
  <si>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</si>
  <si>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</si>
  <si>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</si>
  <si>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</si>
  <si>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</si>
  <si>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21%</t>
  </si>
  <si>
    <t>Objednatel</t>
  </si>
  <si>
    <t>Objednatel:</t>
  </si>
  <si>
    <t>Projektant:</t>
  </si>
  <si>
    <t>Zhotovitel:</t>
  </si>
  <si>
    <t>Konec výstavby:</t>
  </si>
  <si>
    <t>Zpracoval: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</si>
  <si>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</si>
  <si>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</si>
  <si>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</si>
  <si>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</si>
  <si>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</si>
  <si>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</si>
  <si>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</si>
  <si>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</si>
  <si>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</si>
  <si>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</si>
  <si>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</si>
  <si>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</si>
  <si>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</si>
  <si>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</si>
  <si>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</si>
  <si>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</si>
  <si>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</si>
  <si>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</si>
  <si>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</si>
  <si>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00847372/</t>
  </si>
  <si>
    <t>10611550/</t>
  </si>
  <si>
    <t>223</t>
  </si>
  <si>
    <t>0</t>
  </si>
  <si>
    <t>Slepý stavební rozpočet - Jen objekty celkem</t>
  </si>
  <si>
    <t xml:space="preserve"> </t>
  </si>
  <si>
    <t>Zkrácený popis</t>
  </si>
  <si>
    <t>STAVEBNÍ ÚPRAVY 1. NP</t>
  </si>
  <si>
    <t>STAVEBNÍ ÚPRAVY 2. NP</t>
  </si>
  <si>
    <t>STAV. ÚPRAVY SCHODIŠTĚ A OSTATNÍCH PROSTORŮ</t>
  </si>
  <si>
    <t>ZDRAVOTECHNICKÉ INSTALACE+ ÚT</t>
  </si>
  <si>
    <t>SILNOPROUDÉ ROZVODY ELEKTROINSTALACE</t>
  </si>
  <si>
    <t>SLABOPROUDÉ ROZVODY ELEKTROINSTALACE</t>
  </si>
  <si>
    <t>Doba výstavby:</t>
  </si>
  <si>
    <t>Zpracováno dne:</t>
  </si>
  <si>
    <t>Náklady (Kč)</t>
  </si>
  <si>
    <t>Dodávka</t>
  </si>
  <si>
    <t>Celkem:</t>
  </si>
  <si>
    <t>Celkem</t>
  </si>
  <si>
    <t>Hmotnost (t)</t>
  </si>
  <si>
    <t>F</t>
  </si>
  <si>
    <t>01</t>
  </si>
  <si>
    <t>02</t>
  </si>
  <si>
    <t>03</t>
  </si>
  <si>
    <t>04</t>
  </si>
  <si>
    <t>05</t>
  </si>
  <si>
    <t>06</t>
  </si>
  <si>
    <t>Slepý stavební rozpočet - Jen podskupiny</t>
  </si>
  <si>
    <t>Kód</t>
  </si>
  <si>
    <t>31</t>
  </si>
  <si>
    <t>34</t>
  </si>
  <si>
    <t>61</t>
  </si>
  <si>
    <t>63</t>
  </si>
  <si>
    <t>64</t>
  </si>
  <si>
    <t>725</t>
  </si>
  <si>
    <t>766</t>
  </si>
  <si>
    <t>771</t>
  </si>
  <si>
    <t>776</t>
  </si>
  <si>
    <t>783</t>
  </si>
  <si>
    <t>784</t>
  </si>
  <si>
    <t>95</t>
  </si>
  <si>
    <t>96</t>
  </si>
  <si>
    <t>97</t>
  </si>
  <si>
    <t>S</t>
  </si>
  <si>
    <t>100VD</t>
  </si>
  <si>
    <t>H776</t>
  </si>
  <si>
    <t>722</t>
  </si>
  <si>
    <t>90</t>
  </si>
  <si>
    <t>721</t>
  </si>
  <si>
    <t>723</t>
  </si>
  <si>
    <t>733</t>
  </si>
  <si>
    <t>734</t>
  </si>
  <si>
    <t>735</t>
  </si>
  <si>
    <t>M21</t>
  </si>
  <si>
    <t>M22</t>
  </si>
  <si>
    <t>Zdi podpěrné a volné</t>
  </si>
  <si>
    <t>Stěny a příčky</t>
  </si>
  <si>
    <t>Úprava povrchů vnitřní</t>
  </si>
  <si>
    <t>Podlahy a podlahové konstrukce</t>
  </si>
  <si>
    <t>Výplně otvorů</t>
  </si>
  <si>
    <t>Zařizovací předměty</t>
  </si>
  <si>
    <t>Konstrukce truhlářské</t>
  </si>
  <si>
    <t>Podlahy z dlaždic</t>
  </si>
  <si>
    <t>Podlahy povlakové</t>
  </si>
  <si>
    <t>Nátěry</t>
  </si>
  <si>
    <t>Malby</t>
  </si>
  <si>
    <t>Různé dokončovací konstrukce a práce na pozemních stavbách</t>
  </si>
  <si>
    <t>Bourání konstrukcí</t>
  </si>
  <si>
    <t>Prorážení otvorů a ostatní bourací práce</t>
  </si>
  <si>
    <t>Přesuny sutí</t>
  </si>
  <si>
    <t>VEDLEJŠÍ A OSTATNÍ NÁKLADY STAVBY</t>
  </si>
  <si>
    <t>Vnitřní vodovod</t>
  </si>
  <si>
    <t>Hodinové zúčtovací sazby (HZS)</t>
  </si>
  <si>
    <t>Vnitřní kanalizace</t>
  </si>
  <si>
    <t>Vnitřní plynovod</t>
  </si>
  <si>
    <t>Rozvod potrubí</t>
  </si>
  <si>
    <t>Armatury</t>
  </si>
  <si>
    <t>Otopná tělesa</t>
  </si>
  <si>
    <t>Elektromontáže</t>
  </si>
  <si>
    <t>Montáže sdělovací a zabezpečovací techniky</t>
  </si>
  <si>
    <t>T</t>
  </si>
  <si>
    <t>Slepý stavební rozpočet</t>
  </si>
  <si>
    <t>Č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</si>
  <si>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</si>
  <si>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</si>
  <si>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</si>
  <si>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</si>
  <si>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</si>
  <si>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</si>
  <si>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</si>
  <si>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</si>
  <si>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</si>
  <si>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</si>
  <si>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</si>
  <si>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</si>
  <si>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</si>
  <si>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</si>
  <si>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</si>
  <si>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</si>
  <si>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</si>
  <si>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</si>
  <si>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</si>
  <si>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</si>
  <si>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</si>
  <si>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</si>
  <si>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</si>
  <si>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</si>
  <si>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</si>
  <si>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</si>
  <si>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</si>
  <si>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</si>
  <si>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</si>
  <si>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</si>
  <si>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</si>
  <si>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</si>
  <si>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</si>
  <si>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</si>
  <si>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</si>
  <si>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</si>
  <si>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</si>
  <si>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</si>
  <si>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</si>
  <si>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</si>
  <si>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</si>
  <si>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</si>
  <si>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</si>
  <si>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</si>
  <si>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</si>
  <si>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</si>
  <si>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</si>
  <si>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</si>
  <si>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</si>
  <si>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</si>
  <si>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</si>
  <si>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</si>
  <si>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</si>
  <si>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</si>
  <si>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</si>
  <si>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</si>
  <si>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</si>
  <si>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</si>
  <si>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</si>
  <si>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</si>
  <si>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</si>
  <si>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</si>
  <si>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</si>
  <si>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</si>
  <si>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</si>
  <si>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</si>
  <si>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</si>
  <si>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</si>
  <si>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</si>
  <si>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</si>
  <si>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</si>
  <si>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</si>
  <si>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</si>
  <si>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</si>
  <si>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</si>
  <si>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</si>
  <si>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</si>
  <si>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</si>
  <si>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</si>
  <si>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</si>
  <si>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</si>
  <si>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</si>
  <si>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</si>
  <si>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</si>
  <si>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</si>
  <si>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</si>
  <si>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</si>
  <si>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94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</si>
  <si>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</si>
  <si>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</si>
  <si>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</si>
  <si>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</si>
  <si>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</si>
  <si>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</si>
  <si>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</si>
  <si>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</si>
  <si>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</si>
  <si>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</si>
  <si>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</si>
  <si>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</si>
  <si>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</si>
  <si>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</si>
  <si>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</si>
  <si>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</si>
  <si>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</si>
  <si>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</si>
  <si>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</si>
  <si>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</si>
  <si>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</si>
  <si>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</si>
  <si>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</si>
  <si>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</si>
  <si>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</si>
  <si>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</si>
  <si>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</si>
  <si>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</si>
  <si>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</si>
  <si>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</si>
  <si>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</si>
  <si>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</si>
  <si>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</si>
  <si>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</si>
  <si>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</si>
  <si>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</si>
  <si>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</si>
  <si>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</si>
  <si>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</si>
  <si>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</si>
  <si>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</si>
  <si>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</si>
  <si>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</si>
  <si>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</si>
  <si>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</si>
  <si>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</si>
  <si>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</si>
  <si>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</si>
  <si>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</si>
  <si>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</si>
  <si>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</si>
  <si>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</si>
  <si>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</si>
  <si>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</si>
  <si>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</si>
  <si>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</si>
  <si>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</si>
  <si>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</si>
  <si>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</si>
  <si>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</si>
  <si>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</si>
  <si>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</si>
  <si>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</si>
  <si>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</si>
  <si>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</si>
  <si>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</si>
  <si>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</si>
  <si>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</si>
  <si>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</si>
  <si>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</si>
  <si>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</si>
  <si>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</si>
  <si>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</si>
  <si>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</si>
  <si>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</si>
  <si>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</si>
  <si>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</si>
  <si>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</si>
  <si>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</si>
  <si>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</si>
  <si>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</si>
  <si>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</si>
  <si>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</si>
  <si>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</si>
  <si>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</si>
  <si>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</si>
  <si>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</si>
  <si>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</si>
  <si>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</si>
  <si>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</si>
  <si>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</si>
  <si>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</si>
  <si>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</si>
  <si>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</si>
  <si>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</si>
  <si>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</si>
  <si>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</si>
  <si>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</si>
  <si>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</si>
  <si>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</si>
  <si>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</si>
  <si>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</si>
  <si>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</si>
  <si>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</si>
  <si>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</si>
  <si>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</si>
  <si>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</si>
  <si>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</si>
  <si>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</si>
  <si>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</si>
  <si>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</si>
  <si>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</si>
  <si>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</si>
  <si>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</si>
  <si>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</si>
  <si>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</si>
  <si>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</si>
  <si>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</si>
  <si>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</si>
  <si>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</si>
  <si>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</si>
  <si>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</si>
  <si>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</si>
  <si>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</si>
  <si>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</si>
  <si>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317121102R00</t>
  </si>
  <si>
    <t>13380625</t>
  </si>
  <si>
    <t>317234410RT2</t>
  </si>
  <si>
    <t>Varianta:</t>
  </si>
  <si>
    <t>310271620R00</t>
  </si>
  <si>
    <t>310236241RT1</t>
  </si>
  <si>
    <t>342264051RT1</t>
  </si>
  <si>
    <t>342261112RS1</t>
  </si>
  <si>
    <t>342255024RT1</t>
  </si>
  <si>
    <t>342267111RT3</t>
  </si>
  <si>
    <t>342948111R00</t>
  </si>
  <si>
    <t>342668111R00</t>
  </si>
  <si>
    <t>611481211RT2</t>
  </si>
  <si>
    <t>612481211RT2</t>
  </si>
  <si>
    <t>612425931RT2</t>
  </si>
  <si>
    <t>612421615R00</t>
  </si>
  <si>
    <t>610991111R00</t>
  </si>
  <si>
    <t>611425631RT2</t>
  </si>
  <si>
    <t>612423631RT2</t>
  </si>
  <si>
    <t>612401191RT2</t>
  </si>
  <si>
    <t>612471411R00</t>
  </si>
  <si>
    <t>631312121R00</t>
  </si>
  <si>
    <t>642942212RT2</t>
  </si>
  <si>
    <t>642942111RT4</t>
  </si>
  <si>
    <t>725319101R00</t>
  </si>
  <si>
    <t>55231346</t>
  </si>
  <si>
    <t>766411821R00</t>
  </si>
  <si>
    <t>766411822R00</t>
  </si>
  <si>
    <t>766812114R00</t>
  </si>
  <si>
    <t>61581623.A</t>
  </si>
  <si>
    <t>766629301R00</t>
  </si>
  <si>
    <t>61143VL</t>
  </si>
  <si>
    <t>766661112R00</t>
  </si>
  <si>
    <t>771101101R00</t>
  </si>
  <si>
    <t>771101121R00</t>
  </si>
  <si>
    <t>585VL</t>
  </si>
  <si>
    <t>771575109R00</t>
  </si>
  <si>
    <t>59764VL</t>
  </si>
  <si>
    <t>771475014R00</t>
  </si>
  <si>
    <t>771479001R00</t>
  </si>
  <si>
    <t>771111121R00</t>
  </si>
  <si>
    <t>28342441</t>
  </si>
  <si>
    <t>5537000111</t>
  </si>
  <si>
    <t>771578011R00</t>
  </si>
  <si>
    <t>771101115R00</t>
  </si>
  <si>
    <t>776511810R00</t>
  </si>
  <si>
    <t>776101101R00</t>
  </si>
  <si>
    <t>776101121R00</t>
  </si>
  <si>
    <t>776521100RT1</t>
  </si>
  <si>
    <t>284VL</t>
  </si>
  <si>
    <t>776421200R00</t>
  </si>
  <si>
    <t>345VL</t>
  </si>
  <si>
    <t>776101115R00</t>
  </si>
  <si>
    <t>783903811R00</t>
  </si>
  <si>
    <t>783222110R00</t>
  </si>
  <si>
    <t>784498941VL</t>
  </si>
  <si>
    <t>784424271R00</t>
  </si>
  <si>
    <t>952901111R00</t>
  </si>
  <si>
    <t>965081713RT1</t>
  </si>
  <si>
    <t>965043321RT1</t>
  </si>
  <si>
    <t>965081702R00</t>
  </si>
  <si>
    <t>968062244R00</t>
  </si>
  <si>
    <t>968061125R00</t>
  </si>
  <si>
    <t>968072455R00</t>
  </si>
  <si>
    <t>962031116R00</t>
  </si>
  <si>
    <t>962031113R00</t>
  </si>
  <si>
    <t>978059531R00</t>
  </si>
  <si>
    <t>976061111VL</t>
  </si>
  <si>
    <t>971033651R00</t>
  </si>
  <si>
    <t>971033641R00</t>
  </si>
  <si>
    <t>973031345R00</t>
  </si>
  <si>
    <t>973031346R00</t>
  </si>
  <si>
    <t>979082111R00</t>
  </si>
  <si>
    <t>979082121R00</t>
  </si>
  <si>
    <t>979011211R00</t>
  </si>
  <si>
    <t>979081111R00</t>
  </si>
  <si>
    <t>979081121R00</t>
  </si>
  <si>
    <t>979094211R00</t>
  </si>
  <si>
    <t>979990181R00</t>
  </si>
  <si>
    <t>979990107R00</t>
  </si>
  <si>
    <t>100001VL</t>
  </si>
  <si>
    <t>766661413R00</t>
  </si>
  <si>
    <t>61165701</t>
  </si>
  <si>
    <t>54914621</t>
  </si>
  <si>
    <t>776572100RT1</t>
  </si>
  <si>
    <t>697400VL</t>
  </si>
  <si>
    <t>776431010R00</t>
  </si>
  <si>
    <t>776431020R00</t>
  </si>
  <si>
    <t>972054241R00</t>
  </si>
  <si>
    <t>998776101R00</t>
  </si>
  <si>
    <t>722280106R00</t>
  </si>
  <si>
    <t>776200810R00</t>
  </si>
  <si>
    <t>776200830RT1</t>
  </si>
  <si>
    <t>776210110RT1</t>
  </si>
  <si>
    <t>776210300RU2</t>
  </si>
  <si>
    <t>776421100RU1</t>
  </si>
  <si>
    <t>905      R01</t>
  </si>
  <si>
    <t>721210812R00</t>
  </si>
  <si>
    <t>721171803R00</t>
  </si>
  <si>
    <t>721171808R00</t>
  </si>
  <si>
    <t>721176103R00</t>
  </si>
  <si>
    <t>721170909R00</t>
  </si>
  <si>
    <t>721170973R00</t>
  </si>
  <si>
    <t>721176105R00</t>
  </si>
  <si>
    <t>722170801R00</t>
  </si>
  <si>
    <t>722171913R00</t>
  </si>
  <si>
    <t>722172962R00</t>
  </si>
  <si>
    <t>722172431R00</t>
  </si>
  <si>
    <t>723150802R00</t>
  </si>
  <si>
    <t>723190917R00</t>
  </si>
  <si>
    <t>723190907R00</t>
  </si>
  <si>
    <t>723190909R00</t>
  </si>
  <si>
    <t>725840850R00</t>
  </si>
  <si>
    <t>725820802R00</t>
  </si>
  <si>
    <t>725210821R00</t>
  </si>
  <si>
    <t>725110814R00</t>
  </si>
  <si>
    <t>725299101VL</t>
  </si>
  <si>
    <t>725810811R00</t>
  </si>
  <si>
    <t>725814101R00</t>
  </si>
  <si>
    <t>725823111RT1</t>
  </si>
  <si>
    <t>725825111RT1</t>
  </si>
  <si>
    <t>725019101R00</t>
  </si>
  <si>
    <t>733191816R00</t>
  </si>
  <si>
    <t>733123912R00</t>
  </si>
  <si>
    <t>733193917R00</t>
  </si>
  <si>
    <t>734200821R00</t>
  </si>
  <si>
    <t>735494811R00</t>
  </si>
  <si>
    <t>735191910R00</t>
  </si>
  <si>
    <t>735191905R00</t>
  </si>
  <si>
    <t>735111810R00</t>
  </si>
  <si>
    <t>735221823R00</t>
  </si>
  <si>
    <t>735119140R00</t>
  </si>
  <si>
    <t>2100100VL</t>
  </si>
  <si>
    <t>2222805vl</t>
  </si>
  <si>
    <t>222730281R00</t>
  </si>
  <si>
    <t>222730331R00</t>
  </si>
  <si>
    <t>222730361R00</t>
  </si>
  <si>
    <t>222730375R00</t>
  </si>
  <si>
    <t>222730396R00</t>
  </si>
  <si>
    <t>222730401R00</t>
  </si>
  <si>
    <t>22VL</t>
  </si>
  <si>
    <t>222730005R00</t>
  </si>
  <si>
    <t>222730006R00</t>
  </si>
  <si>
    <t>222280541R00</t>
  </si>
  <si>
    <t>DOMOV JISTOTY p. o.</t>
  </si>
  <si>
    <t>STAV. ÚPR. ADMIN. OBJEKTU</t>
  </si>
  <si>
    <t>Starý Bohumín, Slezská 164</t>
  </si>
  <si>
    <t>Zkrácený popis / Varianta</t>
  </si>
  <si>
    <t>Rozměry</t>
  </si>
  <si>
    <t>Osazení překladu světlost otvoru do 180 cm</t>
  </si>
  <si>
    <t>4*2*2+3</t>
  </si>
  <si>
    <t>Tyč průřezu I 140, střední, jakost oceli S235</t>
  </si>
  <si>
    <t>0,0143*(1,4*8+1,3*3)</t>
  </si>
  <si>
    <t>;ztratné 7%; 0,0151151</t>
  </si>
  <si>
    <t>Vyzdívka mezi nosníky cihlami pálenými na MC</t>
  </si>
  <si>
    <t>s použitím suché maltové směsi</t>
  </si>
  <si>
    <t>0,9*0,45*2*0,2</t>
  </si>
  <si>
    <t>0,9*0,2*0,3</t>
  </si>
  <si>
    <t>Zazdívka otvorů do 4 m2, pórobet.tvárnice, tl.20cm</t>
  </si>
  <si>
    <t>0,9*2*0,1</t>
  </si>
  <si>
    <t>Zazdívka otvorů pl. 0,09 m2 cihlami, tl. zdi 30 cm</t>
  </si>
  <si>
    <t>Podhled sádrokartonový na zavěšenou ocel. konstr.</t>
  </si>
  <si>
    <t>desky standard tl. 12,5 mm, bez izolace_x000D_
snížení prostorů na v. 2,8 m - zakrytí nosníků</t>
  </si>
  <si>
    <t>45,45</t>
  </si>
  <si>
    <t>19,53</t>
  </si>
  <si>
    <t>7,56</t>
  </si>
  <si>
    <t>4,27*1,85+1,2*2,69+1,2*1,3</t>
  </si>
  <si>
    <t>Příčka sádrokarton. ocel.kce, 1x oplášť. tl.100 mm</t>
  </si>
  <si>
    <t>desky standard tl.12,5 mm, izol. minerál tl.6 cm</t>
  </si>
  <si>
    <t>4,55*3,1+1,2*3,1</t>
  </si>
  <si>
    <t>3,3*3,1</t>
  </si>
  <si>
    <t>-0,8*2*2</t>
  </si>
  <si>
    <t>Příčka sádrokarton. ocel.kce, 1x oplášť. tl.100 mm - doplnění</t>
  </si>
  <si>
    <t>0,9*2*2</t>
  </si>
  <si>
    <t>Příčky z desek Ytong tl. 10 cm</t>
  </si>
  <si>
    <t>desky Klasik, 599 x 249 x 100 mm</t>
  </si>
  <si>
    <t>3,075*1,1</t>
  </si>
  <si>
    <t>Obklad trámů sádrokartonem dvoustranný do 0,3/0,7m + vložení miner. izolace</t>
  </si>
  <si>
    <t>desky standard impreg. tl. 12,5 mm</t>
  </si>
  <si>
    <t>2,1</t>
  </si>
  <si>
    <t>Ukotvení příček k cihel.konstr. kotvami na hmožd.</t>
  </si>
  <si>
    <t>1,1</t>
  </si>
  <si>
    <t>2*2</t>
  </si>
  <si>
    <t>Těsnění styku příčky se stáv. konstrukcí PU pěnou</t>
  </si>
  <si>
    <t>0,9</t>
  </si>
  <si>
    <t>3,075</t>
  </si>
  <si>
    <t>Montáž výztužné sítě (perlinky) do stěrky-stropy</t>
  </si>
  <si>
    <t>včetně výztužné sítě a stěrkového tmelu</t>
  </si>
  <si>
    <t>0,9*1*2+0,8*0,9</t>
  </si>
  <si>
    <t>Montáž výztužné sítě(perlinky)do stěrky-vnit.stěny</t>
  </si>
  <si>
    <t>(3,075*1,1*2+1,1*0,1)*1,1</t>
  </si>
  <si>
    <t>0,9*2*2*1,1</t>
  </si>
  <si>
    <t>Omítka vápenná vnitřního ostění - štuková</t>
  </si>
  <si>
    <t>0,5*2*2+0,9*0,5</t>
  </si>
  <si>
    <t>0,65*2*2+1*0,65</t>
  </si>
  <si>
    <t>0,4*2*2+0,9*0,4</t>
  </si>
  <si>
    <t>Omítka vnitřní zdiva, MVC, hrubá zatřená</t>
  </si>
  <si>
    <t>3,075*2+1*2+2,59*2+3,075*2</t>
  </si>
  <si>
    <t>Zakrývání výplní vnitřních otvorů</t>
  </si>
  <si>
    <t>okna a hl. dveře</t>
  </si>
  <si>
    <t>1,95*(0,25+0,25+1,52+2,32+1,87+1,87)</t>
  </si>
  <si>
    <t>1,5*(2,4+0,9+0,6+1+1,5+0,6)</t>
  </si>
  <si>
    <t>0,5*0,9*2+0,9*0,6</t>
  </si>
  <si>
    <t>0,75*2,07</t>
  </si>
  <si>
    <t>129,25</t>
  </si>
  <si>
    <t>Omítka rýh stropů MV do 30 cm omítkou štukovou</t>
  </si>
  <si>
    <t>4,39*0,2</t>
  </si>
  <si>
    <t>1,3*0,2+1,2*0,2*2</t>
  </si>
  <si>
    <t>Omítka rýh stěn vápenná šířky do 30 cm, štuková</t>
  </si>
  <si>
    <t>3,1*0,2*4</t>
  </si>
  <si>
    <t>Omítka malých ploch vnitřních stěn do 0,09 m2</t>
  </si>
  <si>
    <t>vápennou štukovou omítkou</t>
  </si>
  <si>
    <t>Úprava vnitřních stěn aktivovaným štukem</t>
  </si>
  <si>
    <t>3,075*2,8*2+0,1*2,8</t>
  </si>
  <si>
    <t>Doplnění mazanin betonem do 4 m2, do tl. 8 cm</t>
  </si>
  <si>
    <t>1,87*0,04</t>
  </si>
  <si>
    <t>Osazení zárubně do sádrokarton. příčky tl. 100 mm</t>
  </si>
  <si>
    <t>včetně dodávky zárubně  800/100</t>
  </si>
  <si>
    <t>1+1</t>
  </si>
  <si>
    <t>Osazení zárubní dveřních ocelových, pl. do 2,5 m2</t>
  </si>
  <si>
    <t>včetně dodávky zárubně  80 x 197 x 11 cm</t>
  </si>
  <si>
    <t>Montáž dřezů jednoduchých</t>
  </si>
  <si>
    <t>Dřez nerez s odkapní plochou</t>
  </si>
  <si>
    <t>Demontáž obložení stěn palubkami</t>
  </si>
  <si>
    <t>verzalitové obložení stěn v. 1,1 m</t>
  </si>
  <si>
    <t>(5*2+3*2+0,45*2)*1,1</t>
  </si>
  <si>
    <t>-(2,84*1,1)-(2*1,1)-(0,9*1,1)</t>
  </si>
  <si>
    <t>(5+7,8+1+0,4+0,96+1,2)*1,1</t>
  </si>
  <si>
    <t>(5,95*2+4,54*2)*1,1</t>
  </si>
  <si>
    <t>-(0,8*3*1,1+2,3*1,1)</t>
  </si>
  <si>
    <t>Demontáž podkladových roštů obložení stěn</t>
  </si>
  <si>
    <t>48,18</t>
  </si>
  <si>
    <t>Montáž kuchyňských linek dřevěných linek š.do 2,1m</t>
  </si>
  <si>
    <t>Linka kuchyňská atypická 210 cm</t>
  </si>
  <si>
    <t>Montáž oken plastových plochy do 1,50 m2</t>
  </si>
  <si>
    <t>Okno plastové jednodílné FIX 900 x 500 cm P neprůhledné sklo  (1. NP - P8)</t>
  </si>
  <si>
    <t>Montáž dveří do zárubně,otevíravých 1kř.do 0,8 m</t>
  </si>
  <si>
    <t>bez dodávky, dveře budou použity původní</t>
  </si>
  <si>
    <t>Vysávání podlah prům.vysavačem pro pokládku dlažby</t>
  </si>
  <si>
    <t>36,81</t>
  </si>
  <si>
    <t>Provedení penetrace podkladu pod dlažby</t>
  </si>
  <si>
    <t>1,87+16,93+7,56</t>
  </si>
  <si>
    <t>Penetrační nátěr 10KG (300*26,36/2=3954)</t>
  </si>
  <si>
    <t>3954/10000</t>
  </si>
  <si>
    <t>Montáž podlah keram.,hladké, tmel, 30x30 cm</t>
  </si>
  <si>
    <t>26,36</t>
  </si>
  <si>
    <t>Dlažba slinutá matná 300x300x9 mm (řízená cena 450,-/m2)</t>
  </si>
  <si>
    <t>;ztratné 10%; 2,636</t>
  </si>
  <si>
    <t>Obklad soklíků keram.rovných, tmel,výška 10 cm</t>
  </si>
  <si>
    <t>4,27*2+1,85*2+2,59*2+3,075*2+0,1*2+0,15+1,3+1,2+0,45*2+3,3*2+0,45*2+0,3*2</t>
  </si>
  <si>
    <t>-(0,8*3+0,9)</t>
  </si>
  <si>
    <t>32,12/6,6</t>
  </si>
  <si>
    <t>;ztratné 10%; 0,486667</t>
  </si>
  <si>
    <t>Řezání dlaždic keramických pro soklíky</t>
  </si>
  <si>
    <t>Montáž podlahových lišt dilatačních a přechodových,dlažba</t>
  </si>
  <si>
    <t>0,9+0,9*2</t>
  </si>
  <si>
    <t>Profil dilatační PVC DILEX-BWS 90  h=9 mm,dl.2,5 m</t>
  </si>
  <si>
    <t>2*0,9</t>
  </si>
  <si>
    <t>;ztratné 10%; 0,18</t>
  </si>
  <si>
    <t>Lišta přechodová Al 30/A lepicí l=93 cm stříbro</t>
  </si>
  <si>
    <t>Spára podlaha - stěna, silikonem</t>
  </si>
  <si>
    <t>32,16</t>
  </si>
  <si>
    <t>Vyrovnání podkladů samonivel. hmotou tl. do 10 mm</t>
  </si>
  <si>
    <t>Samonivelační hmota (počítá se s tl. 10 mm)</t>
  </si>
  <si>
    <t>1,7*10*26,36</t>
  </si>
  <si>
    <t>;ztratné 3%; 13,4436</t>
  </si>
  <si>
    <t>Odstranění PVC a koberců lepených bez podložky</t>
  </si>
  <si>
    <t>15,54+45,35+26,93+4</t>
  </si>
  <si>
    <t>Vysávání podlah prům.vysavačem pod povlak.podlahy</t>
  </si>
  <si>
    <t>91,82</t>
  </si>
  <si>
    <t>Provedení penetrace podkladu pod.povlak.podlahy</t>
  </si>
  <si>
    <t>15,54+45,45+19,53+11,76+4</t>
  </si>
  <si>
    <t>Penetrační nátěr 10KG (300*96,28/2=14442)</t>
  </si>
  <si>
    <t>14442/10000</t>
  </si>
  <si>
    <t>Lepení povlak.podlah z pásů PVC na Chemopren</t>
  </si>
  <si>
    <t>pouze položení - PVC ve specifikaci</t>
  </si>
  <si>
    <t>96,28</t>
  </si>
  <si>
    <t>Podlahovina PVC - ZÁTĚŽOVÁ ! , tl. min. 2mm, nášlapná vrstva min. 0,7mm (dezén podléhá výběru investora - dřevo)</t>
  </si>
  <si>
    <t>;ztratné 10%; 9,628</t>
  </si>
  <si>
    <t>Lepení podlahových soklíků k PVC podlahám,na lišty</t>
  </si>
  <si>
    <t>pouze montáž s kotevním materiálem</t>
  </si>
  <si>
    <t>5*2+3*2+8,8*2+5*2+4,54*2+3,45+3,45+1,3+0,3*2+3,45*2+3,3*2+2,5*2+1,6*2+0,3*2</t>
  </si>
  <si>
    <t>-(0,9+0,8+0,8+0,8+0,8)</t>
  </si>
  <si>
    <t>Lišta podlahová v. max. 58 mm, š. max. 11,8 mm, délka 2,5m (vč. oboustranné lep. pásky)</t>
  </si>
  <si>
    <t>79,68</t>
  </si>
  <si>
    <t>;ztratné 10%; 7,968</t>
  </si>
  <si>
    <t>Vyrovnání podkladů samonivelační hmotou</t>
  </si>
  <si>
    <t>11,76</t>
  </si>
  <si>
    <t>Samonivelační hmota (počítá se s tl. 5 mm)</t>
  </si>
  <si>
    <t>1,7*5*108,04</t>
  </si>
  <si>
    <t>;ztratné 3%; 27,5502</t>
  </si>
  <si>
    <t>Odmaštění chemickými rozpouštědly</t>
  </si>
  <si>
    <t>0,9*2+0,8*2*5+0,6*2*2</t>
  </si>
  <si>
    <t>Nátěr syntetický kovových konstrukcí 2 x bílá</t>
  </si>
  <si>
    <t>Vysprávka omítky akrylát tmelem, sádrou po hmoždinkách, skobách a pod.</t>
  </si>
  <si>
    <t>Malba 2x, 2bar+strop, místn.do 3,8 m</t>
  </si>
  <si>
    <t>předpokládají se 2 barvy na vyspravený, vyčištěný podklad_x000D_
barva univerzální na zdivo i na SDK vč. penetrace</t>
  </si>
  <si>
    <t>15,54+45,45+19,53+11,76+4+1,87+0,96+2,89+2,76+16,93+7,56</t>
  </si>
  <si>
    <t>3,1*(5*2+3*2)</t>
  </si>
  <si>
    <t>2,8*(8,8*2+5*2)</t>
  </si>
  <si>
    <t>2,8*(4,52*2+4,54*2)</t>
  </si>
  <si>
    <t>3,1*(3,45*2+3,3*2)</t>
  </si>
  <si>
    <t>3,1*(2,5*2+1,6*2)</t>
  </si>
  <si>
    <t>1,1*(1,6*2+1,2*2)</t>
  </si>
  <si>
    <t>1,1*(1,2*2+0,8*2)</t>
  </si>
  <si>
    <t>3,1*(2,14*2+0,9*2)</t>
  </si>
  <si>
    <t>1,1*(1,84*2+1,5*2)</t>
  </si>
  <si>
    <t>2,8*(4,27+3,075*2+4,54+4,27+1,85+2,59+1,29+1,2+1,29+3,3*2)</t>
  </si>
  <si>
    <t>Vyčištění budov o výšce podlaží do 4 m</t>
  </si>
  <si>
    <t>zametení a umytí podlah, dlažeb, obkladů, schodů v místnostech, chodbách a schodištích, vyčištění a umytí oken, dveří s rámy, zárubněmi, umytí a vyčistění jiných zasklených a natíraných ploch a zařizovacích předmětů před předáním do užívání.</t>
  </si>
  <si>
    <t>Bourání dlažeb keramických tl.10 mm, nad 1 m2</t>
  </si>
  <si>
    <t>ručně, dlaždice keramické</t>
  </si>
  <si>
    <t>5,18+7,64+16,35+1,92</t>
  </si>
  <si>
    <t>Bourání podkladů bet., potěr, tl, 10 cm, pl. 1 m2</t>
  </si>
  <si>
    <t>mazanina tl. 5 - 8 cm s potěrem</t>
  </si>
  <si>
    <t>31,09*0,05</t>
  </si>
  <si>
    <t>Bourání soklíků z dlažeb keramických</t>
  </si>
  <si>
    <t>3,3*2+4,84*2+0,15+0,3*2</t>
  </si>
  <si>
    <t>-0,8*2</t>
  </si>
  <si>
    <t>Vybourání dřevěných rámů oken jednoduch. pl. 1 m2</t>
  </si>
  <si>
    <t>rám z lamina na celou šířku zdiva 45 cm</t>
  </si>
  <si>
    <t>0,67*0,82</t>
  </si>
  <si>
    <t>Vyvěšení dřevěných dveřních křídel pl. do 2 m2</t>
  </si>
  <si>
    <t>1+1+1</t>
  </si>
  <si>
    <t>Vybourání kovových dveřních zárubní pl. do 2 m2</t>
  </si>
  <si>
    <t>0,8*2*2</t>
  </si>
  <si>
    <t>0,8*2*3</t>
  </si>
  <si>
    <t>0,8*2</t>
  </si>
  <si>
    <t>Bourání příček z cihel pálených plných tl. 140 mm</t>
  </si>
  <si>
    <t>4,39*3,1</t>
  </si>
  <si>
    <t>-(0,8*2+0,9*2)</t>
  </si>
  <si>
    <t>Bourání příček z cihel pálených plných tl. 65 mm</t>
  </si>
  <si>
    <t>1,3*2,4+1,2*2,4</t>
  </si>
  <si>
    <t>-0,6*2</t>
  </si>
  <si>
    <t>Odsekání vnitřních obkladů stěn nad 2 m2</t>
  </si>
  <si>
    <t>(2,95+1,85)*2*2</t>
  </si>
  <si>
    <t>-0,9*2</t>
  </si>
  <si>
    <t>(3+2,59)*2*2</t>
  </si>
  <si>
    <t>1,2*4*2</t>
  </si>
  <si>
    <t>-0,8*2*3</t>
  </si>
  <si>
    <t>Demontáž dřevěných garnýží, věšáků</t>
  </si>
  <si>
    <t>1+1+1,5*2</t>
  </si>
  <si>
    <t>Vybourání otv. zeď cihel. pl.4 m2, tl.60 cm, MVC</t>
  </si>
  <si>
    <t>0,95*2,2*2*0,45</t>
  </si>
  <si>
    <t>Vybourání otv. zeď cihel. pl.4 m2, tl.30 cm, MVC</t>
  </si>
  <si>
    <t>0,9*2,2*0,3</t>
  </si>
  <si>
    <t>Vysekání kapes zeď cih. MVC pl. 0,25 m2, hl. 30 cm</t>
  </si>
  <si>
    <t>Vysekání kapes zeď cih. MVC pl. 0,25 m2, hl. 45 cm</t>
  </si>
  <si>
    <t>Vnitrostaveništní doprava suti do 10 m</t>
  </si>
  <si>
    <t>8,3850</t>
  </si>
  <si>
    <t>9,0179</t>
  </si>
  <si>
    <t>0,292</t>
  </si>
  <si>
    <t>0,529</t>
  </si>
  <si>
    <t>Příplatek k vnitrost. dopravě suti za dalších 5 m</t>
  </si>
  <si>
    <t>18,2239*2</t>
  </si>
  <si>
    <t>Svislá doprava suti a vybour. hmot za 1. a 2.NP nošením</t>
  </si>
  <si>
    <t>18,2239</t>
  </si>
  <si>
    <t>Odvoz suti a vybour. hmot na skládku do 1 km</t>
  </si>
  <si>
    <t>Příplatek k odvozu za každý další 1 km</t>
  </si>
  <si>
    <t>18,2239*7</t>
  </si>
  <si>
    <t>Nakládání nebo překládání vybourané suti</t>
  </si>
  <si>
    <t>Poplatek za uložení suti - PVC podlahová krytina, skupina odpadu 200307</t>
  </si>
  <si>
    <t>Poplatek za uložení suti - směs betonu,cihel,dřeva, skupina odpadu 170904</t>
  </si>
  <si>
    <t>18,2239-0,292</t>
  </si>
  <si>
    <t>VRN + NUS</t>
  </si>
  <si>
    <t>0,9*0,45*0,2*0,9</t>
  </si>
  <si>
    <t>1,2*0,87</t>
  </si>
  <si>
    <t>0,0143*(1,4*4)</t>
  </si>
  <si>
    <t>;ztratné 7%; 0,0056056</t>
  </si>
  <si>
    <t>0,9*1</t>
  </si>
  <si>
    <t>(2,88*2,8*2+2,35*2,8*2)*1,1</t>
  </si>
  <si>
    <t>1,2*0,87*2*1,1</t>
  </si>
  <si>
    <t>0,87*2*0,5+1,2*2*0,5</t>
  </si>
  <si>
    <t>13,8</t>
  </si>
  <si>
    <t>1,5*1+0,85*0,87+1,5*1,2+0,9*0,6+1,5*2,4+1,5*2,4+1,5*1,5+1,5*0,9+0,6*1,15*2</t>
  </si>
  <si>
    <t>13,17+15,54+20,36+23,31+26,6+3,46+10,48+29,4</t>
  </si>
  <si>
    <t>(5,11+2+1,99+1,1*2+0,3)*0,2</t>
  </si>
  <si>
    <t>2,8*0,2*6</t>
  </si>
  <si>
    <t>1,3*0,2*0,2</t>
  </si>
  <si>
    <t>(5*2+3*2+0,3*2)*1,1</t>
  </si>
  <si>
    <t>-(2,88*1,1)-(1*1,1)</t>
  </si>
  <si>
    <t>(4,07+2)*1,1</t>
  </si>
  <si>
    <t>(4,66+5+1)*1,1</t>
  </si>
  <si>
    <t>-(0,9*1,1)</t>
  </si>
  <si>
    <t>4,54+5,82*2</t>
  </si>
  <si>
    <t>-(0,9*1,1*3)-(1,5*1,1)</t>
  </si>
  <si>
    <t>42,965</t>
  </si>
  <si>
    <t>bez dodávky_x000D_
s úpravou zárubně vrtáním otvorů pro bezp. dveře</t>
  </si>
  <si>
    <t>Montáž dveří protipožár.1kř.do 80 cm, bez kukátka</t>
  </si>
  <si>
    <t>Dveře protipožární CPL EI30 DP3 80x197 L.</t>
  </si>
  <si>
    <t>Dveřní kování Cr, 3 klíče FAB, klika/klika</t>
  </si>
  <si>
    <t>1,3*2,7</t>
  </si>
  <si>
    <t>3,51</t>
  </si>
  <si>
    <t>2,7+1,3</t>
  </si>
  <si>
    <t>Penetrační nátěr 10KG (300*3,51/2=526,5)</t>
  </si>
  <si>
    <t>526,5/10000</t>
  </si>
  <si>
    <t>;ztratné 10%; 0,351</t>
  </si>
  <si>
    <t>4/6,6</t>
  </si>
  <si>
    <t>;ztratné 7%; 0,0424242</t>
  </si>
  <si>
    <t>1,7*10*3,51</t>
  </si>
  <si>
    <t>15,54+20,36+23,31+26,59+3,46+4,4+9,99+5,57+5,97+1,98</t>
  </si>
  <si>
    <t>15,54+20,36+23,31+26,6+3,46+29,4</t>
  </si>
  <si>
    <t>118,67</t>
  </si>
  <si>
    <t>Penetrační nátěr 10KG (300*118,67/2=17800,5)</t>
  </si>
  <si>
    <t>17800,5/10000</t>
  </si>
  <si>
    <t>13,17+3,46+29,4</t>
  </si>
  <si>
    <t>46,03</t>
  </si>
  <si>
    <t>Lepení povlakových podlah z pásů textilních</t>
  </si>
  <si>
    <t>pouze položení - koberec ve specifikaci</t>
  </si>
  <si>
    <t>15,54+20,36+23,31+26,6</t>
  </si>
  <si>
    <t>Koberec zátěžový 100% PP, reakce na oheň Cfl-s-1, výška 8 mm, třída zátěže 22 (barva dle výběru investora)</t>
  </si>
  <si>
    <t>85,51</t>
  </si>
  <si>
    <t>79,32*0,05</t>
  </si>
  <si>
    <t>;ztratné 7%; 6,26332</t>
  </si>
  <si>
    <t>Lišta pro kobercový soklík</t>
  </si>
  <si>
    <t>5*2+3*2+5*4+4,07*2+4,66*2+3,33*2+1,1*2+5,9*2+5*2</t>
  </si>
  <si>
    <t>-6*0,8</t>
  </si>
  <si>
    <t>79,32</t>
  </si>
  <si>
    <t>Lepení podlahových soklíků z kobercových pásů</t>
  </si>
  <si>
    <t>1,7*5*118,67</t>
  </si>
  <si>
    <t>0,9*2+0,8*2*4</t>
  </si>
  <si>
    <t>8,2</t>
  </si>
  <si>
    <t>Vysprávka omítky akrylátovým tmelem, sádrou po hmoždinkách, skobách a pod.</t>
  </si>
  <si>
    <t>15,54+20,36+23,31+26,6+3,46+10,48+29,4</t>
  </si>
  <si>
    <t>2,8*(5*2+3*2)</t>
  </si>
  <si>
    <t>2,8*(4,07*2+5*2)</t>
  </si>
  <si>
    <t>2,8*(4,66*2+5*2)</t>
  </si>
  <si>
    <t>2,8*(5,82*2+4,54*2)</t>
  </si>
  <si>
    <t>2,8*(3,33*2+1,2*2)</t>
  </si>
  <si>
    <t>2,8*(5,9*2+5,0*2)</t>
  </si>
  <si>
    <t>zametení a umytí podlah, dlažeb, obkladů, schodů v místnostech, chodbách a schodištích, vyčištění a umytí oken, dveří s rámy, zárubněmi, umytí a vyčis</t>
  </si>
  <si>
    <t>129,15</t>
  </si>
  <si>
    <t>1,98</t>
  </si>
  <si>
    <t>1,98*0,05</t>
  </si>
  <si>
    <t>2,8*(3+2,8+1,1+1,1+2,96+0,1+2,05)</t>
  </si>
  <si>
    <t>-(0,8*2*3+0,6*2*2)</t>
  </si>
  <si>
    <t>(0,8*2+0,9*2+1,1*4)*2</t>
  </si>
  <si>
    <t>-0,6*3</t>
  </si>
  <si>
    <t>0,95*2,2*0,45</t>
  </si>
  <si>
    <t>Vybourání otv. stropy ŽB pl. 0,09 m2</t>
  </si>
  <si>
    <t>Přesun hmot pro podlahy povlakové, výšky do 6 m</t>
  </si>
  <si>
    <t>1,6825-0,3726</t>
  </si>
  <si>
    <t>3,0868</t>
  </si>
  <si>
    <t>10,1057</t>
  </si>
  <si>
    <t>0,3726</t>
  </si>
  <si>
    <t>0,4718</t>
  </si>
  <si>
    <t>14,0369*2</t>
  </si>
  <si>
    <t>14,0369</t>
  </si>
  <si>
    <t>14,0369*7</t>
  </si>
  <si>
    <t>14,0369-0,3726</t>
  </si>
  <si>
    <t>1,5*1*2</t>
  </si>
  <si>
    <t>2,6*0,9</t>
  </si>
  <si>
    <t>25,369</t>
  </si>
  <si>
    <t>Tlaková zkouška vodovodního potrubí DN 32</t>
  </si>
  <si>
    <t xml:space="preserve">hydrant, přívodní potrubí vč. hadice_x000D_
</t>
  </si>
  <si>
    <t>10+25</t>
  </si>
  <si>
    <t>Odstranění PVC podlah lepen. bez podl. ze schodišť</t>
  </si>
  <si>
    <t>6*1,7+1,1*14+1,1*8</t>
  </si>
  <si>
    <t>Odstranění hran schodišťových stupňů</t>
  </si>
  <si>
    <t>odstranění a uložení na hromady</t>
  </si>
  <si>
    <t>34,4</t>
  </si>
  <si>
    <t>1,5*1,7+2,9*1,5+2,9*1,05+2,9*1,76</t>
  </si>
  <si>
    <t>15,049+34,4*0,3</t>
  </si>
  <si>
    <t>Penetrační nátěr 10KG (300*25,369/2=3805,35)</t>
  </si>
  <si>
    <t>3805,35/10000</t>
  </si>
  <si>
    <t>1,7*5*25,369</t>
  </si>
  <si>
    <t>;ztratné 3%; 6,469095</t>
  </si>
  <si>
    <t>15,049</t>
  </si>
  <si>
    <t>;ztratné 10%; 1,5049</t>
  </si>
  <si>
    <t>Lepení podlah pryžových na stupnice rovné</t>
  </si>
  <si>
    <t>pouze lepení - pryž ve specifikaci</t>
  </si>
  <si>
    <t>34,4*0,3</t>
  </si>
  <si>
    <t>;ztratné 15%; 1,548</t>
  </si>
  <si>
    <t>Lepení hran pryžových na stupně</t>
  </si>
  <si>
    <t>včetně dodávky hran - barevná</t>
  </si>
  <si>
    <t>34,4*1,05</t>
  </si>
  <si>
    <t>Lepení podlahových soklíků z PVC a vinylu</t>
  </si>
  <si>
    <t>včetně dodávky soklíku PVC</t>
  </si>
  <si>
    <t>28*0,3*2</t>
  </si>
  <si>
    <t>1,5*0,9+1+2,0*1,5+0,9*1,05*2+2,9+0,9+1,76+0,8</t>
  </si>
  <si>
    <t>4,54*2,9*1,3</t>
  </si>
  <si>
    <t>4,54*6*2+2,9*6*2</t>
  </si>
  <si>
    <t>Hzs-revize provoz.souboru a st.obj.</t>
  </si>
  <si>
    <t xml:space="preserve">Revize hydrantu_x000D_
</t>
  </si>
  <si>
    <t>Demontáž podlahové vpusti  DN 70 vč. zaslepení</t>
  </si>
  <si>
    <t>Demontáž potrubí z PVC do D 75 mm</t>
  </si>
  <si>
    <t>5+5+5</t>
  </si>
  <si>
    <t>Demontáž potrubí z PVC do D 114 mm</t>
  </si>
  <si>
    <t>Potrubí HT připojovací D 50 x 1,8 mm</t>
  </si>
  <si>
    <t>Oprava potrubí PVC odpadní, vsazení odbočky D 110</t>
  </si>
  <si>
    <t>Oprava potrubí z PVC, krácení trub D 75 mm</t>
  </si>
  <si>
    <t>Potrubí HT připojovací D 110 x 2,7 mm</t>
  </si>
  <si>
    <t>Demontáž rozvodů vody z plastů do D 32</t>
  </si>
  <si>
    <t>5+5+10</t>
  </si>
  <si>
    <t>Odříznutí plastové trubky D 25 mm</t>
  </si>
  <si>
    <t>Vsaz.odboč.do plast.potrubí polyf.D 20 mm, vodovod</t>
  </si>
  <si>
    <t>Potrubí z PPR, D 20 x 3,4 mm, PN 20, vč.zed.výpom.</t>
  </si>
  <si>
    <t>3*2</t>
  </si>
  <si>
    <t>Demontáž potrubí ocel.hladkého svařovaného D 44</t>
  </si>
  <si>
    <t>odříznutí pod stropem 1.PP</t>
  </si>
  <si>
    <t>Navaření odbočky na plynové potrubí DN 50</t>
  </si>
  <si>
    <t>Odvzdušnění a napuštění plynového potrubí</t>
  </si>
  <si>
    <t>Zkouška tlaková  plynového potrubí</t>
  </si>
  <si>
    <t>Demontáž baterie sprch.diferenciální G 3/4x1</t>
  </si>
  <si>
    <t>Demontáž baterie stojánkové do 1otvoru</t>
  </si>
  <si>
    <t>1+2</t>
  </si>
  <si>
    <t>Demontáž umyvadel bez výtokových armatur</t>
  </si>
  <si>
    <t>Demontáž klozetů kombinovaných</t>
  </si>
  <si>
    <t>Demontáž koupelnových doplňků</t>
  </si>
  <si>
    <t>držáky, mýdelníky, zásobníky, zrcadla, madla, věšáky a pod.</t>
  </si>
  <si>
    <t>Demontáž ventilu výtokového nástěnného</t>
  </si>
  <si>
    <t>Ventil rohový s filtrem DN 15 x DN 10</t>
  </si>
  <si>
    <t>Baterie umyvadlová stoján. ruční, bez otvír.odpadu</t>
  </si>
  <si>
    <t>standardní</t>
  </si>
  <si>
    <t>Baterie umyvadlová nástěnná ruční</t>
  </si>
  <si>
    <t>standardní, DLOUHÁ PÍPA</t>
  </si>
  <si>
    <t>Výlevka stojící MIRA 5104.6 s plastovou mřížkou</t>
  </si>
  <si>
    <t>Odřezání třmenových držáků potrubí do D 44,5</t>
  </si>
  <si>
    <t>Svařovaný spoj potrubí ocelového hladkého D 25 mm</t>
  </si>
  <si>
    <t>Oprava-zaslepení potrubí dýnkem do D 51 mm</t>
  </si>
  <si>
    <t>Demontáž armatur se 2závity do G 1/2</t>
  </si>
  <si>
    <t>Vypuštění vody z otopných těles</t>
  </si>
  <si>
    <t>132*0,6*0,2*2</t>
  </si>
  <si>
    <t>22*0,2*2*1,1+140*0,6*0,2*2</t>
  </si>
  <si>
    <t>Napuštění vody do otopného systému - bez kotle</t>
  </si>
  <si>
    <t>74,96</t>
  </si>
  <si>
    <t>Oprava - odvzdušnění otopných těles</t>
  </si>
  <si>
    <t>11+12</t>
  </si>
  <si>
    <t>Demontáž těles otopných litinových článkových</t>
  </si>
  <si>
    <t>8*0,2*2*0,6</t>
  </si>
  <si>
    <t>5*0,2*2*1,1</t>
  </si>
  <si>
    <t>Demontáž registr.z hl.trubek DN 65 do 3 m,3pramen.</t>
  </si>
  <si>
    <t>Montáž těles otopných litinových článkových</t>
  </si>
  <si>
    <t>4,12</t>
  </si>
  <si>
    <t>D+M silnoproudých rozvodů dle samostatného rozpočtu</t>
  </si>
  <si>
    <t>včetně stavebních dodávek, bouracích výpomocí a prací</t>
  </si>
  <si>
    <t>D+M slaboproudých rozvodů dle samostatného rozpočtu</t>
  </si>
  <si>
    <t>Rozvodnice STA na omítku</t>
  </si>
  <si>
    <t>Připojení zesilovací soupravy na rozvod STA</t>
  </si>
  <si>
    <t>Slučovač, rozbočovač nebo odbočovač na připr.body</t>
  </si>
  <si>
    <t>Montáž F konektoru</t>
  </si>
  <si>
    <t>Měření TV signálu</t>
  </si>
  <si>
    <t>Nastavení a zprovoznění hl.stanice vč. ant.sestavy</t>
  </si>
  <si>
    <t>konzola stávající</t>
  </si>
  <si>
    <t>Anténa širokopásmová DTV min. 25 dB</t>
  </si>
  <si>
    <t>Účastnická zásuvka TV+R průchozí pod omítku</t>
  </si>
  <si>
    <t>Účastnická zásuvka TV+R koncová pod omítku</t>
  </si>
  <si>
    <t>Koaxiální kabel volně ve žlabu, nebo liště</t>
  </si>
  <si>
    <t>15.11.2021</t>
  </si>
  <si>
    <t>nové dveřní otvory</t>
  </si>
  <si>
    <t>oc. překlady</t>
  </si>
  <si>
    <t>zazdívka mezi 1-4 a 1-5</t>
  </si>
  <si>
    <t>po ventilátoru v 1-7</t>
  </si>
  <si>
    <t>místnost č. 1-3</t>
  </si>
  <si>
    <t>místnost č. 1-4</t>
  </si>
  <si>
    <t>místnost č. 1-12</t>
  </si>
  <si>
    <t>část chodby č. 1-11</t>
  </si>
  <si>
    <t>místnost č. 1-5</t>
  </si>
  <si>
    <t>odpočet dveřních otvorů</t>
  </si>
  <si>
    <t>doplnění SDK příček s izolací po demontáži zárubní (2 ks.)</t>
  </si>
  <si>
    <t xml:space="preserve"> nadezdívka příčky v kuchyňce 1-12</t>
  </si>
  <si>
    <t>opláštění kanalizačního potrubí pod stropem v kuchyňce - č.8</t>
  </si>
  <si>
    <t>nadezdívka</t>
  </si>
  <si>
    <t>zazdívka</t>
  </si>
  <si>
    <t>vyzdívka otvoru</t>
  </si>
  <si>
    <t>potažení os. nosníků</t>
  </si>
  <si>
    <t>nadezdívka v kuchyňce</t>
  </si>
  <si>
    <t>zadívka otvoru</t>
  </si>
  <si>
    <t>dveře do 1-3</t>
  </si>
  <si>
    <t>dveřní otvor ze schodiště do 1-11</t>
  </si>
  <si>
    <t>dveřní otvor v chodbičce 1-11</t>
  </si>
  <si>
    <t>zazděné dveře mezi 1-4 a 1-5</t>
  </si>
  <si>
    <t>po osekání obkladu v původních m.č. 1-5 a 1-6</t>
  </si>
  <si>
    <t>okna</t>
  </si>
  <si>
    <t>2. vstup</t>
  </si>
  <si>
    <t>podlahy</t>
  </si>
  <si>
    <t>po bouraných příčkách</t>
  </si>
  <si>
    <t>po ventilátoru</t>
  </si>
  <si>
    <t>oddělující příčka kuchyňky</t>
  </si>
  <si>
    <t>ČISTÍCÍ MÍSTNOST V 1.NP</t>
  </si>
  <si>
    <t>T5 a T6</t>
  </si>
  <si>
    <t>T4 do m.č. 1-3</t>
  </si>
  <si>
    <t>místnost č. 1-2</t>
  </si>
  <si>
    <t>odpočty</t>
  </si>
  <si>
    <t>bez vybavení, dřezu a baterie</t>
  </si>
  <si>
    <t>světlík P8  nad dveřmi T5</t>
  </si>
  <si>
    <t>T4, T5, T6</t>
  </si>
  <si>
    <t>plochy původní vybourané dlažby</t>
  </si>
  <si>
    <t>místnosti s dlažbou v 1.NP</t>
  </si>
  <si>
    <t>Spotřeba:  betenové podlahy: cca 300 g/m2 hotového nátěru, ředění 1:1 = cca 150 g/m2</t>
  </si>
  <si>
    <t>obvod 1-11 a 1-12</t>
  </si>
  <si>
    <t>odpočet otvorů</t>
  </si>
  <si>
    <t xml:space="preserve"> 2 PÁSKY Z DLAŽDICE 300X300</t>
  </si>
  <si>
    <t>mezi schodiště a 1-11</t>
  </si>
  <si>
    <t>Spotř: 1,7 kg suché směsi / 1 m2 á 1 mm tloušťky. Zrání 48 hod. při tl. 20 mm</t>
  </si>
  <si>
    <t>místnosti s PVC 1. NP</t>
  </si>
  <si>
    <t>obvod místností s PVC v 1. NP</t>
  </si>
  <si>
    <t>odpočet dveří</t>
  </si>
  <si>
    <t>s prořezem</t>
  </si>
  <si>
    <t>1-5 1. NP nový stav+ 5 mm</t>
  </si>
  <si>
    <t>ocelové zárubně</t>
  </si>
  <si>
    <t>po obložení stěn verzalitem</t>
  </si>
  <si>
    <t>ostatní</t>
  </si>
  <si>
    <t>stropy</t>
  </si>
  <si>
    <t>m.č. 1-2</t>
  </si>
  <si>
    <t>m.č. 1-3</t>
  </si>
  <si>
    <t>m.č. 1-4</t>
  </si>
  <si>
    <t>m.č. 1-5</t>
  </si>
  <si>
    <t>m.č. 1-6</t>
  </si>
  <si>
    <t>m.č. 1-7</t>
  </si>
  <si>
    <t>m.č. 1-8</t>
  </si>
  <si>
    <t>m.č. 1-9</t>
  </si>
  <si>
    <t>m.č. 1-10</t>
  </si>
  <si>
    <t>m.č. 1-11 a 1-12</t>
  </si>
  <si>
    <t xml:space="preserve"> dlažby v 1. NP k výměně</t>
  </si>
  <si>
    <t>vybourání lepící a částečně podkladní vrstvy pod dlažbami do 50 mm</t>
  </si>
  <si>
    <t>místnost č. 1-7</t>
  </si>
  <si>
    <t>podávací okno v m.č. 1-7 (T9)</t>
  </si>
  <si>
    <t>dveře vybour. zárubní z SDK příček</t>
  </si>
  <si>
    <t>dveře v místnostech č. 1-5 a 1-6</t>
  </si>
  <si>
    <t>dveře mezi 1-4 a 1-7</t>
  </si>
  <si>
    <t>zárubně ze SDK příček 1-2/1-3, 1-3/1-4</t>
  </si>
  <si>
    <t>zárubně v místn. č. 1-5 a 1-6</t>
  </si>
  <si>
    <t>dveře T9 (1-4/1-7)</t>
  </si>
  <si>
    <t>mezi 1-4 a 1-5, 1-6</t>
  </si>
  <si>
    <t>odpočet dv. otvorů</t>
  </si>
  <si>
    <t>toaleta v 1-6</t>
  </si>
  <si>
    <t>místnost č. 1-6</t>
  </si>
  <si>
    <t>m.č. 1-6-WC</t>
  </si>
  <si>
    <t>2 ks. dveřních otvorů (chodba)</t>
  </si>
  <si>
    <t>dveřní otvor do m. č. 1-3</t>
  </si>
  <si>
    <t>pro překlady</t>
  </si>
  <si>
    <t xml:space="preserve"> oddíl 97</t>
  </si>
  <si>
    <t xml:space="preserve"> oddíl 96</t>
  </si>
  <si>
    <t>PVC</t>
  </si>
  <si>
    <t>obložení z verzalitu</t>
  </si>
  <si>
    <t>zazdívka mezi 2-5 a 2-9</t>
  </si>
  <si>
    <t>výměna příček 2-2, 2-4</t>
  </si>
  <si>
    <t>zadívka otvoru 2-5</t>
  </si>
  <si>
    <t>dveřní otvor ze schodiště do 2-3</t>
  </si>
  <si>
    <t>po osekání obkladu v původních m.</t>
  </si>
  <si>
    <t>místnost č. 2-2</t>
  </si>
  <si>
    <t>místnost č. 2-3</t>
  </si>
  <si>
    <t>místnost č. 2-4</t>
  </si>
  <si>
    <t>místnost č. 2-5</t>
  </si>
  <si>
    <t>dveře T1, T4</t>
  </si>
  <si>
    <t>do spisovny</t>
  </si>
  <si>
    <t>PLOCHA POD KL</t>
  </si>
  <si>
    <t>POD KL</t>
  </si>
  <si>
    <t xml:space="preserve"> místnosti 2. NP s PVC kromě 2-7</t>
  </si>
  <si>
    <t>plocha</t>
  </si>
  <si>
    <t>soklíky</t>
  </si>
  <si>
    <t>m.č. 2-2</t>
  </si>
  <si>
    <t>m.č. 2-3</t>
  </si>
  <si>
    <t>m.č. 2-4</t>
  </si>
  <si>
    <t>m.č. 2-5</t>
  </si>
  <si>
    <t>m.č. 2-6</t>
  </si>
  <si>
    <t>m.č. 2-8</t>
  </si>
  <si>
    <t xml:space="preserve"> dlažby v 2. NP toalety B</t>
  </si>
  <si>
    <t>OKNO (T4) 2. NP</t>
  </si>
  <si>
    <t>dveře vybour. zárubní z SDK příček A OST.</t>
  </si>
  <si>
    <t>prostor budoucí spisovny</t>
  </si>
  <si>
    <t>místnost č. 2-12</t>
  </si>
  <si>
    <t>1 ks. dveřního otvoru (chodba/2-3)</t>
  </si>
  <si>
    <t>pro přívod vody a kanalizace k dřezu v 2-5</t>
  </si>
  <si>
    <t>hl. vstupní dveře</t>
  </si>
  <si>
    <t>dveře do sklepa</t>
  </si>
  <si>
    <t>dveře do kanceláří</t>
  </si>
  <si>
    <t>podlaha se zábradlím</t>
  </si>
  <si>
    <t>podesty</t>
  </si>
  <si>
    <t>m.č. 1-11 1. NP</t>
  </si>
  <si>
    <t>m.č. 1-7 1. NP</t>
  </si>
  <si>
    <t>1.NP</t>
  </si>
  <si>
    <t>1. NP</t>
  </si>
  <si>
    <t>DOPOJENÍ DŘEZU 1. NP</t>
  </si>
  <si>
    <t>DŘEZ 1. NP</t>
  </si>
  <si>
    <t>VÝLEVKA 1. NP</t>
  </si>
  <si>
    <t>po zrušení zemní vpusti 1-11, 1-7</t>
  </si>
  <si>
    <t>dopojení výlevky</t>
  </si>
  <si>
    <t>DŘEZ</t>
  </si>
  <si>
    <t>potrubí v 1-7 vč. 2 armatur</t>
  </si>
  <si>
    <t>zaslepení pl. potrubí svarem pod stropem 1.PP</t>
  </si>
  <si>
    <t>m.č. 1-11+1-5</t>
  </si>
  <si>
    <t>m.č. 1-5 a 1-6</t>
  </si>
  <si>
    <t>m.č. 1-5 a 1-6  1. NP</t>
  </si>
  <si>
    <t>toaleta v m. č. 1-6</t>
  </si>
  <si>
    <t>toalety v m. č. 1-5</t>
  </si>
  <si>
    <t>DŘEZ 1-12   1.NP</t>
  </si>
  <si>
    <t>M.Č. 1-12   1. NP</t>
  </si>
  <si>
    <t>K VÝLEVCE 1-7 1.NP</t>
  </si>
  <si>
    <t xml:space="preserve"> do m. č . 1-7</t>
  </si>
  <si>
    <t>pl. potrubí</t>
  </si>
  <si>
    <t>2. NP</t>
  </si>
  <si>
    <t>dle samost. rozpočtu J. Mazurková</t>
  </si>
  <si>
    <t>kpl. dle rozpočtu M. Raška</t>
  </si>
  <si>
    <t>MJ</t>
  </si>
  <si>
    <t>kus</t>
  </si>
  <si>
    <t>t</t>
  </si>
  <si>
    <t>m3</t>
  </si>
  <si>
    <t>m2</t>
  </si>
  <si>
    <t>m</t>
  </si>
  <si>
    <t>soubor</t>
  </si>
  <si>
    <t>KUS</t>
  </si>
  <si>
    <t>kg</t>
  </si>
  <si>
    <t>h</t>
  </si>
  <si>
    <t>kpl.</t>
  </si>
  <si>
    <t>Množství</t>
  </si>
  <si>
    <t>Domov jistoty p.o., Bohumín</t>
  </si>
  <si>
    <t>Šebela, Vrátník,Mazurková</t>
  </si>
  <si>
    <t>Dle výsledků VŘ</t>
  </si>
  <si>
    <t>I. Vrátník</t>
  </si>
  <si>
    <t>Cena/MJ</t>
  </si>
  <si>
    <t>(Kč)</t>
  </si>
  <si>
    <t>Cenová</t>
  </si>
  <si>
    <t>soustava</t>
  </si>
  <si>
    <t>RTS II / 2021</t>
  </si>
  <si>
    <t>VLASTNÍ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</si>
  <si>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</si>
  <si>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</si>
  <si>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</si>
  <si>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</si>
  <si>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</si>
  <si>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</si>
  <si>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</si>
  <si>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</si>
  <si>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</si>
  <si>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31_</t>
  </si>
  <si>
    <t>34_</t>
  </si>
  <si>
    <t>61_</t>
  </si>
  <si>
    <t>63_</t>
  </si>
  <si>
    <t>64_</t>
  </si>
  <si>
    <t>725_</t>
  </si>
  <si>
    <t>766_</t>
  </si>
  <si>
    <t>771_</t>
  </si>
  <si>
    <t>776_</t>
  </si>
  <si>
    <t>783_</t>
  </si>
  <si>
    <t>784_</t>
  </si>
  <si>
    <t>95_</t>
  </si>
  <si>
    <t>96_</t>
  </si>
  <si>
    <t>97_</t>
  </si>
  <si>
    <t>S_</t>
  </si>
  <si>
    <t>100VD_</t>
  </si>
  <si>
    <t>H776_</t>
  </si>
  <si>
    <t>722_</t>
  </si>
  <si>
    <t>90_</t>
  </si>
  <si>
    <t>721_</t>
  </si>
  <si>
    <t>723_</t>
  </si>
  <si>
    <t>733_</t>
  </si>
  <si>
    <t>734_</t>
  </si>
  <si>
    <t>735_</t>
  </si>
  <si>
    <t>M21_</t>
  </si>
  <si>
    <t>M22_</t>
  </si>
  <si>
    <t>01_3_</t>
  </si>
  <si>
    <t>01_6_</t>
  </si>
  <si>
    <t>01_72_</t>
  </si>
  <si>
    <t>01_76_</t>
  </si>
  <si>
    <t>01_77_</t>
  </si>
  <si>
    <t>01_78_</t>
  </si>
  <si>
    <t>01_9_</t>
  </si>
  <si>
    <t>01_1_</t>
  </si>
  <si>
    <t>02_3_</t>
  </si>
  <si>
    <t>02_6_</t>
  </si>
  <si>
    <t>02_76_</t>
  </si>
  <si>
    <t>02_77_</t>
  </si>
  <si>
    <t>02_78_</t>
  </si>
  <si>
    <t>02_9_</t>
  </si>
  <si>
    <t>02_1_</t>
  </si>
  <si>
    <t>03_6_</t>
  </si>
  <si>
    <t>03_72_</t>
  </si>
  <si>
    <t>03_77_</t>
  </si>
  <si>
    <t>03_78_</t>
  </si>
  <si>
    <t>03_9_</t>
  </si>
  <si>
    <t>03_1_</t>
  </si>
  <si>
    <t>04_72_</t>
  </si>
  <si>
    <t>04_73_</t>
  </si>
  <si>
    <t>05_9_</t>
  </si>
  <si>
    <t>06_9_</t>
  </si>
  <si>
    <t>01_</t>
  </si>
  <si>
    <t>02_</t>
  </si>
  <si>
    <t>03_</t>
  </si>
  <si>
    <t>04_</t>
  </si>
  <si>
    <t>05_</t>
  </si>
  <si>
    <t>06_</t>
  </si>
  <si>
    <t>100008</t>
  </si>
  <si>
    <t>100006</t>
  </si>
  <si>
    <t>100009</t>
  </si>
  <si>
    <t>100021</t>
  </si>
  <si>
    <t>100007</t>
  </si>
  <si>
    <t>100010</t>
  </si>
  <si>
    <t>100005</t>
  </si>
  <si>
    <t>100003</t>
  </si>
  <si>
    <t>100001</t>
  </si>
  <si>
    <t>100011</t>
  </si>
  <si>
    <t>100012</t>
  </si>
  <si>
    <t>100013</t>
  </si>
  <si>
    <t>100002</t>
  </si>
  <si>
    <t>100004</t>
  </si>
  <si>
    <t>100014</t>
  </si>
  <si>
    <t>100015</t>
  </si>
  <si>
    <t>100025</t>
  </si>
  <si>
    <t>100020</t>
  </si>
  <si>
    <t>100026</t>
  </si>
  <si>
    <t>100016</t>
  </si>
  <si>
    <t>100018</t>
  </si>
  <si>
    <t>100019</t>
  </si>
  <si>
    <t>100024</t>
  </si>
  <si>
    <t>100017</t>
  </si>
  <si>
    <t>100023</t>
  </si>
  <si>
    <t>100022</t>
  </si>
  <si>
    <t>MAT</t>
  </si>
  <si>
    <t>WORK</t>
  </si>
  <si>
    <t>CELK</t>
  </si>
  <si>
    <t>ISWORK</t>
  </si>
  <si>
    <t>P</t>
  </si>
  <si>
    <t>M</t>
  </si>
  <si>
    <t>GROUPCODE</t>
  </si>
  <si>
    <t>Požadavky PBŘ</t>
  </si>
  <si>
    <r>
      <t xml:space="preserve">Rozpočet je zpracován dle PD arch. č. 210933/Vra z 9/2021.   </t>
    </r>
    <r>
      <rPr>
        <b/>
        <sz val="10"/>
        <color indexed="10"/>
        <rFont val="Arial"/>
        <family val="2"/>
        <charset val="238"/>
      </rPr>
      <t>Požadavky PBŘ: DODÁVKA A MONTÁŽ 7 ks. PRÁŠKOVÝ HP s hasící schopností 34 A</t>
    </r>
    <r>
      <rPr>
        <sz val="10"/>
        <color indexed="8"/>
        <rFont val="Arial"/>
        <charset val="238"/>
      </rPr>
      <t xml:space="preserve">
Rozpočet je vypracován dle cenové úrovně RTS II/2021.          </t>
    </r>
    <r>
      <rPr>
        <b/>
        <sz val="10"/>
        <color indexed="8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(DOPLNIT ČÁSTKU DO BUŇKY 27C)</t>
    </r>
    <r>
      <rPr>
        <sz val="10"/>
        <color indexed="8"/>
        <rFont val="Arial"/>
        <charset val="238"/>
      </rPr>
      <t xml:space="preserve">
Dodavatel je oprávněn vyplnit pouze jednotkovou cenu.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</si>
</sst>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Kč&quot;"/>
  </numFmts>
  <fonts count="24" x14ac:knownFonts="1">
    <font>
      <sz val="10"/>
      <name val="Arial"/>
    </font>
    <font>
      <sz val="10"/>
      <color indexed="8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i/>
      <sz val="8"/>
      <color indexed="8"/>
      <name val="Arial"/>
      <charset val="238"/>
    </font>
    <font>
      <b/>
      <sz val="11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4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b/>
      <sz val="10"/>
      <color indexed="54"/>
      <name val="Arial"/>
      <charset val="238"/>
    </font>
    <font>
      <b/>
      <sz val="10"/>
      <color indexed="56"/>
      <name val="Arial"/>
      <charset val="238"/>
    </font>
    <font>
      <i/>
      <sz val="10"/>
      <color indexed="58"/>
      <name val="Arial"/>
      <charset val="238"/>
    </font>
    <font>
      <i/>
      <sz val="10"/>
      <color indexed="63"/>
      <name val="Arial"/>
      <charset val="238"/>
    </font>
    <font>
      <i/>
      <sz val="10"/>
      <color indexed="59"/>
      <name val="Arial"/>
      <charset val="238"/>
    </font>
    <font>
      <i/>
      <sz val="10"/>
      <color indexed="50"/>
      <name val="Arial"/>
      <charset val="238"/>
    </font>
    <font>
      <b/>
      <sz val="1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9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1" fillId="0" borderId="0" xfId="0" applyFont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6" fillId="0" borderId="11" xfId="0" applyNumberFormat="1" applyFont="1" applyFill="1" applyBorder="1" applyAlignment="1" applyProtection="1">
      <alignment horizontal="left" vertical="center"/>
    </xf>
    <xf numFmtId="49" fontId="6" fillId="0" borderId="10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6" fillId="0" borderId="12" xfId="0" applyNumberFormat="1" applyFont="1" applyFill="1" applyBorder="1" applyAlignment="1" applyProtection="1">
      <alignment horizontal="left" vertical="center"/>
    </xf>
    <xf numFmtId="49" fontId="1" fillId="0" borderId="13" xfId="0" applyNumberFormat="1" applyFont="1" applyFill="1" applyBorder="1" applyAlignment="1" applyProtection="1">
      <alignment horizontal="left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49" fontId="6" fillId="0" borderId="14" xfId="0" applyNumberFormat="1" applyFont="1" applyFill="1" applyBorder="1" applyAlignment="1" applyProtection="1">
      <alignment horizontal="center" vertical="center"/>
    </xf>
    <xf numFmtId="49" fontId="6" fillId="0" borderId="15" xfId="0" applyNumberFormat="1" applyFont="1" applyFill="1" applyBorder="1" applyAlignment="1" applyProtection="1">
      <alignment horizontal="center" vertical="center"/>
    </xf>
    <xf numFmtId="49" fontId="6" fillId="0" borderId="16" xfId="0" applyNumberFormat="1" applyFont="1" applyFill="1" applyBorder="1" applyAlignment="1" applyProtection="1">
      <alignment horizontal="center" vertical="center"/>
    </xf>
    <xf numFmtId="49" fontId="6" fillId="0" borderId="17" xfId="0" applyNumberFormat="1" applyFont="1" applyFill="1" applyBorder="1" applyAlignment="1" applyProtection="1">
      <alignment horizontal="center" vertical="center"/>
    </xf>
    <xf numFmtId="49" fontId="12" fillId="2" borderId="0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" fontId="12" fillId="2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3" fillId="3" borderId="18" xfId="0" applyNumberFormat="1" applyFont="1" applyFill="1" applyBorder="1" applyAlignment="1" applyProtection="1">
      <alignment horizontal="center" vertical="center"/>
    </xf>
    <xf numFmtId="49" fontId="3" fillId="3" borderId="19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NumberFormat="1" applyFont="1" applyFill="1" applyBorder="1" applyAlignment="1" applyProtection="1">
      <alignment vertical="center"/>
    </xf>
    <xf numFmtId="0" fontId="1" fillId="0" borderId="21" xfId="0" applyNumberFormat="1" applyFont="1" applyFill="1" applyBorder="1" applyAlignment="1" applyProtection="1">
      <alignment vertical="center"/>
    </xf>
    <xf numFmtId="49" fontId="4" fillId="0" borderId="22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vertical="center"/>
    </xf>
    <xf numFmtId="49" fontId="18" fillId="0" borderId="18" xfId="0" applyNumberFormat="1" applyFont="1" applyFill="1" applyBorder="1" applyAlignment="1" applyProtection="1">
      <alignment horizontal="left" vertical="center"/>
    </xf>
    <xf numFmtId="49" fontId="20" fillId="0" borderId="19" xfId="0" applyNumberFormat="1" applyFont="1" applyFill="1" applyBorder="1" applyAlignment="1" applyProtection="1">
      <alignment horizontal="left" vertical="center"/>
    </xf>
    <xf numFmtId="4" fontId="20" fillId="0" borderId="19" xfId="0" applyNumberFormat="1" applyFont="1" applyFill="1" applyBorder="1" applyAlignment="1" applyProtection="1">
      <alignment horizontal="right" vertical="center"/>
    </xf>
    <xf numFmtId="49" fontId="20" fillId="0" borderId="24" xfId="0" applyNumberFormat="1" applyFont="1" applyFill="1" applyBorder="1" applyAlignment="1" applyProtection="1">
      <alignment horizontal="right" vertical="center"/>
    </xf>
    <xf numFmtId="49" fontId="20" fillId="0" borderId="19" xfId="0" applyNumberFormat="1" applyFont="1" applyFill="1" applyBorder="1" applyAlignment="1" applyProtection="1">
      <alignment horizontal="right" vertical="center"/>
    </xf>
    <xf numFmtId="4" fontId="20" fillId="0" borderId="24" xfId="0" applyNumberFormat="1" applyFont="1" applyFill="1" applyBorder="1" applyAlignment="1" applyProtection="1">
      <alignment horizontal="right" vertical="center"/>
    </xf>
    <xf numFmtId="0" fontId="20" fillId="0" borderId="18" xfId="0" applyNumberFormat="1" applyFont="1" applyFill="1" applyBorder="1" applyAlignment="1" applyProtection="1">
      <alignment vertical="center"/>
    </xf>
    <xf numFmtId="0" fontId="20" fillId="0" borderId="19" xfId="0" applyNumberFormat="1" applyFont="1" applyFill="1" applyBorder="1" applyAlignment="1" applyProtection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4" xfId="0" applyNumberFormat="1" applyFont="1" applyFill="1" applyBorder="1" applyAlignment="1" applyProtection="1">
      <alignment vertical="center"/>
    </xf>
    <xf numFmtId="4" fontId="18" fillId="3" borderId="19" xfId="0" applyNumberFormat="1" applyFont="1" applyFill="1" applyBorder="1" applyAlignment="1" applyProtection="1">
      <alignment horizontal="right" vertical="center"/>
    </xf>
    <xf numFmtId="4" fontId="18" fillId="5" borderId="19" xfId="0" applyNumberFormat="1" applyFont="1" applyFill="1" applyBorder="1" applyAlignment="1" applyProtection="1">
      <alignment horizontal="right" vertical="center"/>
    </xf>
    <xf numFmtId="168" fontId="18" fillId="6" borderId="24" xfId="0" applyNumberFormat="1" applyFont="1" applyFill="1" applyBorder="1" applyAlignment="1" applyProtection="1">
      <alignment horizontal="right" vertical="center"/>
    </xf>
    <xf numFmtId="4" fontId="6" fillId="7" borderId="1" xfId="0" applyNumberFormat="1" applyFont="1" applyFill="1" applyBorder="1" applyAlignment="1" applyProtection="1">
      <alignment horizontal="right" vertical="center"/>
    </xf>
    <xf numFmtId="4" fontId="1" fillId="0" borderId="25" xfId="0" applyNumberFormat="1" applyFont="1" applyFill="1" applyBorder="1" applyAlignment="1" applyProtection="1">
      <alignment horizontal="right" vertical="center"/>
    </xf>
    <xf numFmtId="4" fontId="1" fillId="0" borderId="26" xfId="0" applyNumberFormat="1" applyFont="1" applyFill="1" applyBorder="1" applyAlignment="1" applyProtection="1">
      <alignment horizontal="right" vertical="center"/>
    </xf>
    <xf numFmtId="4" fontId="1" fillId="0" borderId="27" xfId="0" applyNumberFormat="1" applyFont="1" applyFill="1" applyBorder="1" applyAlignment="1" applyProtection="1">
      <alignment horizontal="right" vertical="center"/>
    </xf>
    <xf numFmtId="0" fontId="1" fillId="0" borderId="28" xfId="0" applyNumberFormat="1" applyFont="1" applyFill="1" applyBorder="1" applyAlignment="1" applyProtection="1">
      <alignment vertical="center"/>
    </xf>
    <xf numFmtId="0" fontId="1" fillId="0" borderId="29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4" fontId="1" fillId="0" borderId="30" xfId="0" applyNumberFormat="1" applyFont="1" applyFill="1" applyBorder="1" applyAlignment="1" applyProtection="1">
      <alignment horizontal="right" vertical="center"/>
    </xf>
    <xf numFmtId="4" fontId="1" fillId="0" borderId="19" xfId="0" applyNumberFormat="1" applyFont="1" applyFill="1" applyBorder="1" applyAlignment="1" applyProtection="1">
      <alignment horizontal="right" vertical="center"/>
    </xf>
    <xf numFmtId="4" fontId="1" fillId="0" borderId="31" xfId="0" applyNumberFormat="1" applyFont="1" applyFill="1" applyBorder="1" applyAlignment="1" applyProtection="1">
      <alignment horizontal="right" vertical="center"/>
    </xf>
    <xf numFmtId="49" fontId="1" fillId="0" borderId="32" xfId="0" applyNumberFormat="1" applyFont="1" applyFill="1" applyBorder="1" applyAlignment="1" applyProtection="1">
      <alignment horizontal="left" vertical="center"/>
    </xf>
    <xf numFmtId="4" fontId="1" fillId="0" borderId="33" xfId="0" applyNumberFormat="1" applyFont="1" applyFill="1" applyBorder="1" applyAlignment="1" applyProtection="1">
      <alignment horizontal="right" vertical="center"/>
    </xf>
    <xf numFmtId="49" fontId="1" fillId="0" borderId="18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Fill="1" applyBorder="1" applyAlignment="1" applyProtection="1">
      <alignment horizontal="right" vertical="center"/>
    </xf>
    <xf numFmtId="49" fontId="1" fillId="0" borderId="34" xfId="0" applyNumberFormat="1" applyFont="1" applyFill="1" applyBorder="1" applyAlignment="1" applyProtection="1">
      <alignment horizontal="left" vertical="center"/>
    </xf>
    <xf numFmtId="4" fontId="1" fillId="0" borderId="35" xfId="0" applyNumberFormat="1" applyFont="1" applyFill="1" applyBorder="1" applyAlignment="1" applyProtection="1">
      <alignment horizontal="right" vertical="center"/>
    </xf>
    <xf numFmtId="49" fontId="11" fillId="4" borderId="30" xfId="0" applyNumberFormat="1" applyFont="1" applyFill="1" applyBorder="1" applyAlignment="1" applyProtection="1">
      <alignment horizontal="left" vertical="center"/>
    </xf>
    <xf numFmtId="49" fontId="7" fillId="4" borderId="30" xfId="0" applyNumberFormat="1" applyFont="1" applyFill="1" applyBorder="1" applyAlignment="1" applyProtection="1">
      <alignment horizontal="left" vertical="center"/>
    </xf>
    <xf numFmtId="4" fontId="11" fillId="4" borderId="30" xfId="0" applyNumberFormat="1" applyFont="1" applyFill="1" applyBorder="1" applyAlignment="1" applyProtection="1">
      <alignment horizontal="right" vertical="center"/>
    </xf>
    <xf numFmtId="49" fontId="12" fillId="2" borderId="19" xfId="0" applyNumberFormat="1" applyFont="1" applyFill="1" applyBorder="1" applyAlignment="1" applyProtection="1">
      <alignment horizontal="left" vertical="center"/>
    </xf>
    <xf numFmtId="49" fontId="8" fillId="2" borderId="19" xfId="0" applyNumberFormat="1" applyFont="1" applyFill="1" applyBorder="1" applyAlignment="1" applyProtection="1">
      <alignment horizontal="left" vertical="center"/>
    </xf>
    <xf numFmtId="4" fontId="12" fillId="2" borderId="19" xfId="0" applyNumberFormat="1" applyFont="1" applyFill="1" applyBorder="1" applyAlignment="1" applyProtection="1">
      <alignment horizontal="right" vertical="center"/>
    </xf>
    <xf numFmtId="49" fontId="9" fillId="0" borderId="19" xfId="0" applyNumberFormat="1" applyFont="1" applyFill="1" applyBorder="1" applyAlignment="1" applyProtection="1">
      <alignment horizontal="left" vertical="center"/>
    </xf>
    <xf numFmtId="4" fontId="9" fillId="0" borderId="19" xfId="0" applyNumberFormat="1" applyFont="1" applyFill="1" applyBorder="1" applyAlignment="1" applyProtection="1">
      <alignment horizontal="right" vertical="center"/>
    </xf>
    <xf numFmtId="49" fontId="14" fillId="0" borderId="19" xfId="0" applyNumberFormat="1" applyFont="1" applyFill="1" applyBorder="1" applyAlignment="1" applyProtection="1">
      <alignment horizontal="left" vertical="center"/>
    </xf>
    <xf numFmtId="49" fontId="16" fillId="0" borderId="19" xfId="0" applyNumberFormat="1" applyFont="1" applyFill="1" applyBorder="1" applyAlignment="1" applyProtection="1">
      <alignment horizontal="left" vertical="center"/>
    </xf>
    <xf numFmtId="4" fontId="14" fillId="0" borderId="19" xfId="0" applyNumberFormat="1" applyFont="1" applyFill="1" applyBorder="1" applyAlignment="1" applyProtection="1">
      <alignment horizontal="right" vertical="center"/>
    </xf>
    <xf numFmtId="49" fontId="10" fillId="0" borderId="19" xfId="0" applyNumberFormat="1" applyFont="1" applyFill="1" applyBorder="1" applyAlignment="1" applyProtection="1">
      <alignment horizontal="left" vertical="center"/>
    </xf>
    <xf numFmtId="4" fontId="10" fillId="0" borderId="19" xfId="0" applyNumberFormat="1" applyFont="1" applyFill="1" applyBorder="1" applyAlignment="1" applyProtection="1">
      <alignment horizontal="right" vertical="center"/>
    </xf>
    <xf numFmtId="49" fontId="13" fillId="0" borderId="19" xfId="0" applyNumberFormat="1" applyFont="1" applyFill="1" applyBorder="1" applyAlignment="1" applyProtection="1">
      <alignment horizontal="right" vertical="top"/>
    </xf>
    <xf numFmtId="49" fontId="11" fillId="4" borderId="19" xfId="0" applyNumberFormat="1" applyFont="1" applyFill="1" applyBorder="1" applyAlignment="1" applyProtection="1">
      <alignment horizontal="left" vertical="center"/>
    </xf>
    <xf numFmtId="49" fontId="7" fillId="4" borderId="19" xfId="0" applyNumberFormat="1" applyFont="1" applyFill="1" applyBorder="1" applyAlignment="1" applyProtection="1">
      <alignment horizontal="left" vertical="center"/>
    </xf>
    <xf numFmtId="4" fontId="11" fillId="4" borderId="19" xfId="0" applyNumberFormat="1" applyFont="1" applyFill="1" applyBorder="1" applyAlignment="1" applyProtection="1">
      <alignment horizontal="right" vertical="center"/>
    </xf>
    <xf numFmtId="49" fontId="9" fillId="0" borderId="31" xfId="0" applyNumberFormat="1" applyFont="1" applyFill="1" applyBorder="1" applyAlignment="1" applyProtection="1">
      <alignment horizontal="left" vertical="center"/>
    </xf>
    <xf numFmtId="4" fontId="9" fillId="0" borderId="31" xfId="0" applyNumberFormat="1" applyFont="1" applyFill="1" applyBorder="1" applyAlignment="1" applyProtection="1">
      <alignment horizontal="right" vertical="center"/>
    </xf>
    <xf numFmtId="49" fontId="11" fillId="4" borderId="30" xfId="0" applyNumberFormat="1" applyFont="1" applyFill="1" applyBorder="1" applyAlignment="1" applyProtection="1">
      <alignment horizontal="right" vertical="center"/>
    </xf>
    <xf numFmtId="49" fontId="12" fillId="2" borderId="19" xfId="0" applyNumberFormat="1" applyFont="1" applyFill="1" applyBorder="1" applyAlignment="1" applyProtection="1">
      <alignment horizontal="right" vertical="center"/>
    </xf>
    <xf numFmtId="49" fontId="9" fillId="0" borderId="19" xfId="0" applyNumberFormat="1" applyFont="1" applyFill="1" applyBorder="1" applyAlignment="1" applyProtection="1">
      <alignment horizontal="right" vertical="center"/>
    </xf>
    <xf numFmtId="49" fontId="10" fillId="0" borderId="19" xfId="0" applyNumberFormat="1" applyFont="1" applyFill="1" applyBorder="1" applyAlignment="1" applyProtection="1">
      <alignment horizontal="right" vertical="center"/>
    </xf>
    <xf numFmtId="49" fontId="11" fillId="4" borderId="19" xfId="0" applyNumberFormat="1" applyFont="1" applyFill="1" applyBorder="1" applyAlignment="1" applyProtection="1">
      <alignment horizontal="right" vertical="center"/>
    </xf>
    <xf numFmtId="49" fontId="9" fillId="0" borderId="31" xfId="0" applyNumberFormat="1" applyFont="1" applyFill="1" applyBorder="1" applyAlignment="1" applyProtection="1">
      <alignment horizontal="right" vertical="center"/>
    </xf>
    <xf numFmtId="4" fontId="23" fillId="8" borderId="19" xfId="0" applyNumberFormat="1" applyFont="1" applyFill="1" applyBorder="1" applyAlignment="1" applyProtection="1">
      <alignment horizontal="right" vertical="center"/>
    </xf>
    <xf numFmtId="0" fontId="19" fillId="0" borderId="39" xfId="0" applyNumberFormat="1" applyFont="1" applyFill="1" applyBorder="1" applyAlignment="1" applyProtection="1">
      <alignment horizontal="left" vertical="center" wrapText="1"/>
    </xf>
    <xf numFmtId="0" fontId="1" fillId="0" borderId="40" xfId="0" applyNumberFormat="1" applyFont="1" applyFill="1" applyBorder="1" applyAlignment="1" applyProtection="1">
      <alignment horizontal="left" vertical="center"/>
    </xf>
    <xf numFmtId="0" fontId="1" fillId="0" borderId="41" xfId="0" applyNumberFormat="1" applyFont="1" applyFill="1" applyBorder="1" applyAlignment="1" applyProtection="1">
      <alignment horizontal="left" vertical="center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33" xfId="0" applyNumberFormat="1" applyFont="1" applyFill="1" applyBorder="1" applyAlignment="1" applyProtection="1">
      <alignment horizontal="center" vertical="center" wrapText="1"/>
    </xf>
    <xf numFmtId="0" fontId="1" fillId="0" borderId="42" xfId="0" applyNumberFormat="1" applyFont="1" applyFill="1" applyBorder="1" applyAlignment="1" applyProtection="1">
      <alignment horizontal="center" vertical="center"/>
    </xf>
    <xf numFmtId="0" fontId="1" fillId="0" borderId="43" xfId="0" applyNumberFormat="1" applyFont="1" applyFill="1" applyBorder="1" applyAlignment="1" applyProtection="1">
      <alignment horizontal="center" vertical="center"/>
    </xf>
    <xf numFmtId="0" fontId="1" fillId="0" borderId="44" xfId="0" applyNumberFormat="1" applyFont="1" applyFill="1" applyBorder="1" applyAlignment="1" applyProtection="1">
      <alignment horizontal="center" vertical="center"/>
    </xf>
    <xf numFmtId="0" fontId="1" fillId="0" borderId="45" xfId="0" applyNumberFormat="1" applyFont="1" applyFill="1" applyBorder="1" applyAlignment="1" applyProtection="1">
      <alignment horizontal="center" vertical="center"/>
    </xf>
    <xf numFmtId="49" fontId="19" fillId="0" borderId="38" xfId="0" applyNumberFormat="1" applyFont="1" applyFill="1" applyBorder="1" applyAlignment="1" applyProtection="1">
      <alignment horizontal="left" vertical="center"/>
    </xf>
    <xf numFmtId="0" fontId="19" fillId="0" borderId="37" xfId="0" applyNumberFormat="1" applyFont="1" applyFill="1" applyBorder="1" applyAlignment="1" applyProtection="1">
      <alignment horizontal="left" vertical="center"/>
    </xf>
    <xf numFmtId="49" fontId="19" fillId="0" borderId="37" xfId="0" applyNumberFormat="1" applyFont="1" applyFill="1" applyBorder="1" applyAlignment="1" applyProtection="1">
      <alignment horizontal="left" vertical="center"/>
    </xf>
    <xf numFmtId="49" fontId="19" fillId="0" borderId="36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horizontal="left" vertical="center"/>
    </xf>
    <xf numFmtId="49" fontId="19" fillId="0" borderId="26" xfId="0" applyNumberFormat="1" applyFont="1" applyFill="1" applyBorder="1" applyAlignment="1" applyProtection="1">
      <alignment horizontal="left" vertical="center"/>
    </xf>
    <xf numFmtId="49" fontId="19" fillId="0" borderId="22" xfId="0" applyNumberFormat="1" applyFont="1" applyFill="1" applyBorder="1" applyAlignment="1" applyProtection="1">
      <alignment horizontal="left" vertical="center"/>
    </xf>
    <xf numFmtId="0" fontId="19" fillId="0" borderId="46" xfId="0" applyNumberFormat="1" applyFont="1" applyFill="1" applyBorder="1" applyAlignment="1" applyProtection="1">
      <alignment horizontal="left" vertical="center"/>
    </xf>
    <xf numFmtId="49" fontId="19" fillId="0" borderId="46" xfId="0" applyNumberFormat="1" applyFont="1" applyFill="1" applyBorder="1" applyAlignment="1" applyProtection="1">
      <alignment horizontal="left" vertical="center"/>
    </xf>
    <xf numFmtId="49" fontId="19" fillId="0" borderId="42" xfId="0" applyNumberFormat="1" applyFont="1" applyFill="1" applyBorder="1" applyAlignment="1" applyProtection="1">
      <alignment horizontal="left" vertical="center"/>
    </xf>
    <xf numFmtId="49" fontId="19" fillId="0" borderId="43" xfId="0" applyNumberFormat="1" applyFont="1" applyFill="1" applyBorder="1" applyAlignment="1" applyProtection="1">
      <alignment horizontal="left" vertical="center"/>
    </xf>
    <xf numFmtId="49" fontId="19" fillId="0" borderId="47" xfId="0" applyNumberFormat="1" applyFont="1" applyFill="1" applyBorder="1" applyAlignment="1" applyProtection="1">
      <alignment horizontal="left" vertical="center"/>
    </xf>
    <xf numFmtId="49" fontId="18" fillId="3" borderId="18" xfId="0" applyNumberFormat="1" applyFont="1" applyFill="1" applyBorder="1" applyAlignment="1" applyProtection="1">
      <alignment horizontal="left" vertical="center"/>
    </xf>
    <xf numFmtId="0" fontId="18" fillId="3" borderId="19" xfId="0" applyNumberFormat="1" applyFont="1" applyFill="1" applyBorder="1" applyAlignment="1" applyProtection="1">
      <alignment horizontal="left" vertical="center"/>
    </xf>
    <xf numFmtId="49" fontId="18" fillId="3" borderId="19" xfId="0" applyNumberFormat="1" applyFont="1" applyFill="1" applyBorder="1" applyAlignment="1" applyProtection="1">
      <alignment horizontal="left" vertical="center"/>
    </xf>
    <xf numFmtId="49" fontId="18" fillId="0" borderId="19" xfId="0" applyNumberFormat="1" applyFont="1" applyFill="1" applyBorder="1" applyAlignment="1" applyProtection="1">
      <alignment horizontal="left" vertical="center"/>
    </xf>
    <xf numFmtId="0" fontId="18" fillId="0" borderId="19" xfId="0" applyNumberFormat="1" applyFont="1" applyFill="1" applyBorder="1" applyAlignment="1" applyProtection="1">
      <alignment horizontal="left" vertical="center"/>
    </xf>
    <xf numFmtId="49" fontId="18" fillId="5" borderId="18" xfId="0" applyNumberFormat="1" applyFont="1" applyFill="1" applyBorder="1" applyAlignment="1" applyProtection="1">
      <alignment horizontal="left" vertical="center"/>
    </xf>
    <xf numFmtId="0" fontId="18" fillId="5" borderId="19" xfId="0" applyNumberFormat="1" applyFont="1" applyFill="1" applyBorder="1" applyAlignment="1" applyProtection="1">
      <alignment horizontal="left" vertical="center"/>
    </xf>
    <xf numFmtId="49" fontId="23" fillId="8" borderId="18" xfId="0" applyNumberFormat="1" applyFont="1" applyFill="1" applyBorder="1" applyAlignment="1" applyProtection="1">
      <alignment horizontal="left" vertical="center"/>
    </xf>
    <xf numFmtId="0" fontId="23" fillId="8" borderId="19" xfId="0" applyNumberFormat="1" applyFont="1" applyFill="1" applyBorder="1" applyAlignment="1" applyProtection="1">
      <alignment horizontal="left" vertical="center"/>
    </xf>
    <xf numFmtId="49" fontId="18" fillId="5" borderId="19" xfId="0" applyNumberFormat="1" applyFont="1" applyFill="1" applyBorder="1" applyAlignment="1" applyProtection="1">
      <alignment horizontal="left" vertical="center"/>
    </xf>
    <xf numFmtId="49" fontId="18" fillId="0" borderId="18" xfId="0" applyNumberFormat="1" applyFont="1" applyFill="1" applyBorder="1" applyAlignment="1" applyProtection="1">
      <alignment horizontal="left" vertical="center"/>
    </xf>
    <xf numFmtId="49" fontId="20" fillId="0" borderId="19" xfId="0" applyNumberFormat="1" applyFont="1" applyFill="1" applyBorder="1" applyAlignment="1" applyProtection="1">
      <alignment horizontal="left" vertical="center"/>
    </xf>
    <xf numFmtId="0" fontId="20" fillId="0" borderId="19" xfId="0" applyNumberFormat="1" applyFont="1" applyFill="1" applyBorder="1" applyAlignment="1" applyProtection="1">
      <alignment horizontal="left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left" vertical="center"/>
    </xf>
    <xf numFmtId="0" fontId="5" fillId="0" borderId="19" xfId="0" applyNumberFormat="1" applyFont="1" applyFill="1" applyBorder="1" applyAlignment="1" applyProtection="1">
      <alignment horizontal="left" vertical="center"/>
    </xf>
    <xf numFmtId="0" fontId="5" fillId="0" borderId="24" xfId="0" applyNumberFormat="1" applyFont="1" applyFill="1" applyBorder="1" applyAlignment="1" applyProtection="1">
      <alignment horizontal="left" vertical="center"/>
    </xf>
    <xf numFmtId="0" fontId="20" fillId="0" borderId="18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left" vertical="center"/>
    </xf>
    <xf numFmtId="0" fontId="20" fillId="0" borderId="19" xfId="0" applyNumberFormat="1" applyFont="1" applyFill="1" applyBorder="1" applyAlignment="1" applyProtection="1">
      <alignment horizontal="left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0" fontId="20" fillId="0" borderId="24" xfId="0" applyNumberFormat="1" applyFont="1" applyFill="1" applyBorder="1" applyAlignment="1" applyProtection="1">
      <alignment horizontal="left" vertical="center"/>
    </xf>
    <xf numFmtId="49" fontId="20" fillId="0" borderId="24" xfId="0" applyNumberFormat="1" applyFont="1" applyFill="1" applyBorder="1" applyAlignment="1" applyProtection="1">
      <alignment horizontal="left" vertical="center"/>
    </xf>
    <xf numFmtId="0" fontId="20" fillId="7" borderId="19" xfId="0" applyNumberFormat="1" applyFont="1" applyFill="1" applyBorder="1" applyAlignment="1" applyProtection="1">
      <alignment horizontal="left" vertical="center" wrapText="1"/>
    </xf>
    <xf numFmtId="0" fontId="20" fillId="7" borderId="19" xfId="0" applyNumberFormat="1" applyFont="1" applyFill="1" applyBorder="1" applyAlignment="1" applyProtection="1">
      <alignment horizontal="left" vertical="center"/>
    </xf>
    <xf numFmtId="0" fontId="18" fillId="7" borderId="19" xfId="0" applyNumberFormat="1" applyFont="1" applyFill="1" applyBorder="1" applyAlignment="1" applyProtection="1">
      <alignment horizontal="left" vertical="center" wrapText="1"/>
    </xf>
    <xf numFmtId="0" fontId="18" fillId="7" borderId="19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1" fillId="0" borderId="54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49" fontId="6" fillId="7" borderId="1" xfId="0" applyNumberFormat="1" applyFont="1" applyFill="1" applyBorder="1" applyAlignment="1" applyProtection="1">
      <alignment horizontal="left" vertical="center"/>
    </xf>
    <xf numFmtId="0" fontId="6" fillId="7" borderId="1" xfId="0" applyNumberFormat="1" applyFont="1" applyFill="1" applyBorder="1" applyAlignment="1" applyProtection="1">
      <alignment horizontal="left" vertical="center"/>
    </xf>
    <xf numFmtId="0" fontId="1" fillId="0" borderId="55" xfId="0" applyNumberFormat="1" applyFont="1" applyFill="1" applyBorder="1" applyAlignment="1" applyProtection="1">
      <alignment horizontal="left" vertical="center" wrapText="1"/>
    </xf>
    <xf numFmtId="0" fontId="1" fillId="0" borderId="56" xfId="0" applyNumberFormat="1" applyFont="1" applyFill="1" applyBorder="1" applyAlignment="1" applyProtection="1">
      <alignment horizontal="left" vertical="center"/>
    </xf>
    <xf numFmtId="0" fontId="1" fillId="0" borderId="57" xfId="0" applyNumberFormat="1" applyFont="1" applyFill="1" applyBorder="1" applyAlignment="1" applyProtection="1">
      <alignment horizontal="left" vertical="center"/>
    </xf>
    <xf numFmtId="49" fontId="1" fillId="0" borderId="5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49" fontId="6" fillId="0" borderId="48" xfId="0" applyNumberFormat="1" applyFont="1" applyFill="1" applyBorder="1" applyAlignment="1" applyProtection="1">
      <alignment horizontal="center" vertical="center"/>
    </xf>
    <xf numFmtId="0" fontId="6" fillId="0" borderId="49" xfId="0" applyNumberFormat="1" applyFont="1" applyFill="1" applyBorder="1" applyAlignment="1" applyProtection="1">
      <alignment horizontal="center" vertical="center"/>
    </xf>
    <xf numFmtId="0" fontId="6" fillId="0" borderId="50" xfId="0" applyNumberFormat="1" applyFont="1" applyFill="1" applyBorder="1" applyAlignment="1" applyProtection="1">
      <alignment horizontal="center" vertical="center"/>
    </xf>
    <xf numFmtId="49" fontId="6" fillId="0" borderId="55" xfId="0" applyNumberFormat="1" applyFont="1" applyFill="1" applyBorder="1" applyAlignment="1" applyProtection="1">
      <alignment horizontal="left" vertical="center"/>
    </xf>
    <xf numFmtId="0" fontId="6" fillId="0" borderId="56" xfId="0" applyNumberFormat="1" applyFont="1" applyFill="1" applyBorder="1" applyAlignment="1" applyProtection="1">
      <alignment horizontal="left" vertical="center"/>
    </xf>
    <xf numFmtId="0" fontId="6" fillId="0" borderId="57" xfId="0" applyNumberFormat="1" applyFont="1" applyFill="1" applyBorder="1" applyAlignment="1" applyProtection="1">
      <alignment horizontal="left" vertical="center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/>
    </xf>
    <xf numFmtId="0" fontId="1" fillId="0" borderId="39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/>
    </xf>
    <xf numFmtId="0" fontId="1" fillId="0" borderId="18" xfId="0" applyNumberFormat="1" applyFont="1" applyFill="1" applyBorder="1" applyAlignment="1" applyProtection="1">
      <alignment horizontal="left" vertical="center"/>
    </xf>
    <xf numFmtId="0" fontId="1" fillId="7" borderId="19" xfId="0" applyNumberFormat="1" applyFont="1" applyFill="1" applyBorder="1" applyAlignment="1" applyProtection="1">
      <alignment horizontal="left" vertical="center" wrapText="1"/>
    </xf>
    <xf numFmtId="0" fontId="1" fillId="7" borderId="19" xfId="0" applyNumberFormat="1" applyFont="1" applyFill="1" applyBorder="1" applyAlignment="1" applyProtection="1">
      <alignment horizontal="left" vertical="center"/>
    </xf>
    <xf numFmtId="49" fontId="17" fillId="0" borderId="48" xfId="0" applyNumberFormat="1" applyFont="1" applyFill="1" applyBorder="1" applyAlignment="1" applyProtection="1">
      <alignment horizontal="center" vertical="center"/>
    </xf>
    <xf numFmtId="0" fontId="17" fillId="0" borderId="49" xfId="0" applyNumberFormat="1" applyFont="1" applyFill="1" applyBorder="1" applyAlignment="1" applyProtection="1">
      <alignment horizontal="center" vertical="center"/>
    </xf>
    <xf numFmtId="0" fontId="17" fillId="0" borderId="50" xfId="0" applyNumberFormat="1" applyFont="1" applyFill="1" applyBorder="1" applyAlignment="1" applyProtection="1">
      <alignment horizontal="center" vertical="center"/>
    </xf>
    <xf numFmtId="0" fontId="1" fillId="0" borderId="51" xfId="0" applyNumberFormat="1" applyFont="1" applyFill="1" applyBorder="1" applyAlignment="1" applyProtection="1">
      <alignment horizontal="left" vertical="center" wrapText="1"/>
    </xf>
    <xf numFmtId="0" fontId="1" fillId="0" borderId="52" xfId="0" applyNumberFormat="1" applyFont="1" applyFill="1" applyBorder="1" applyAlignment="1" applyProtection="1">
      <alignment horizontal="left" vertical="center"/>
    </xf>
    <xf numFmtId="0" fontId="6" fillId="7" borderId="52" xfId="0" applyNumberFormat="1" applyFont="1" applyFill="1" applyBorder="1" applyAlignment="1" applyProtection="1">
      <alignment horizontal="left" vertical="center" wrapText="1"/>
    </xf>
    <xf numFmtId="0" fontId="6" fillId="7" borderId="52" xfId="0" applyNumberFormat="1" applyFont="1" applyFill="1" applyBorder="1" applyAlignment="1" applyProtection="1">
      <alignment horizontal="left" vertical="center"/>
    </xf>
    <xf numFmtId="0" fontId="6" fillId="7" borderId="19" xfId="0" applyNumberFormat="1" applyFont="1" applyFill="1" applyBorder="1" applyAlignment="1" applyProtection="1">
      <alignment horizontal="left" vertical="center"/>
    </xf>
    <xf numFmtId="0" fontId="1" fillId="0" borderId="52" xfId="0" applyNumberFormat="1" applyFont="1" applyFill="1" applyBorder="1" applyAlignment="1" applyProtection="1">
      <alignment horizontal="left" vertical="center" wrapText="1"/>
    </xf>
    <xf numFmtId="0" fontId="1" fillId="0" borderId="53" xfId="0" applyNumberFormat="1" applyFont="1" applyFill="1" applyBorder="1" applyAlignment="1" applyProtection="1">
      <alignment horizontal="left" vertical="center"/>
    </xf>
    <xf numFmtId="49" fontId="1" fillId="0" borderId="31" xfId="0" applyNumberFormat="1" applyFont="1" applyFill="1" applyBorder="1" applyAlignment="1" applyProtection="1">
      <alignment horizontal="left" vertical="center"/>
    </xf>
    <xf numFmtId="0" fontId="1" fillId="0" borderId="31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49" fontId="1" fillId="0" borderId="59" xfId="0" applyNumberFormat="1" applyFont="1" applyFill="1" applyBorder="1" applyAlignment="1" applyProtection="1">
      <alignment horizontal="left" vertical="center"/>
    </xf>
    <xf numFmtId="49" fontId="6" fillId="0" borderId="60" xfId="0" applyNumberFormat="1" applyFont="1" applyFill="1" applyBorder="1" applyAlignment="1" applyProtection="1">
      <alignment horizontal="left" vertical="center"/>
    </xf>
    <xf numFmtId="49" fontId="1" fillId="0" borderId="30" xfId="0" applyNumberFormat="1" applyFont="1" applyFill="1" applyBorder="1" applyAlignment="1" applyProtection="1">
      <alignment horizontal="left" vertical="center"/>
    </xf>
    <xf numFmtId="0" fontId="1" fillId="0" borderId="3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9" fillId="0" borderId="19" xfId="0" applyNumberFormat="1" applyFont="1" applyFill="1" applyBorder="1" applyAlignment="1" applyProtection="1">
      <alignment horizontal="left" vertical="center"/>
    </xf>
    <xf numFmtId="0" fontId="9" fillId="0" borderId="19" xfId="0" applyNumberFormat="1" applyFont="1" applyFill="1" applyBorder="1" applyAlignment="1" applyProtection="1">
      <alignment horizontal="left" vertical="center"/>
    </xf>
    <xf numFmtId="0" fontId="15" fillId="0" borderId="19" xfId="0" applyNumberFormat="1" applyFont="1" applyFill="1" applyBorder="1" applyAlignment="1" applyProtection="1">
      <alignment horizontal="left" vertical="center" wrapText="1"/>
    </xf>
    <xf numFmtId="0" fontId="15" fillId="0" borderId="19" xfId="0" applyNumberFormat="1" applyFont="1" applyFill="1" applyBorder="1" applyAlignment="1" applyProtection="1">
      <alignment horizontal="left" vertical="center"/>
    </xf>
    <xf numFmtId="49" fontId="10" fillId="0" borderId="19" xfId="0" applyNumberFormat="1" applyFont="1" applyFill="1" applyBorder="1" applyAlignment="1" applyProtection="1">
      <alignment horizontal="left" vertical="center"/>
    </xf>
    <xf numFmtId="0" fontId="10" fillId="0" borderId="19" xfId="0" applyNumberFormat="1" applyFont="1" applyFill="1" applyBorder="1" applyAlignment="1" applyProtection="1">
      <alignment horizontal="left" vertical="center"/>
    </xf>
    <xf numFmtId="49" fontId="9" fillId="0" borderId="31" xfId="0" applyNumberFormat="1" applyFont="1" applyFill="1" applyBorder="1" applyAlignment="1" applyProtection="1">
      <alignment horizontal="left" vertical="center"/>
    </xf>
    <xf numFmtId="0" fontId="9" fillId="0" borderId="31" xfId="0" applyNumberFormat="1" applyFont="1" applyFill="1" applyBorder="1" applyAlignment="1" applyProtection="1">
      <alignment horizontal="left" vertical="center"/>
    </xf>
    <xf numFmtId="49" fontId="11" fillId="4" borderId="19" xfId="0" applyNumberFormat="1" applyFont="1" applyFill="1" applyBorder="1" applyAlignment="1" applyProtection="1">
      <alignment horizontal="left" vertical="center"/>
    </xf>
    <xf numFmtId="0" fontId="11" fillId="4" borderId="19" xfId="0" applyNumberFormat="1" applyFont="1" applyFill="1" applyBorder="1" applyAlignment="1" applyProtection="1">
      <alignment horizontal="left" vertical="center"/>
    </xf>
    <xf numFmtId="49" fontId="12" fillId="2" borderId="19" xfId="0" applyNumberFormat="1" applyFont="1" applyFill="1" applyBorder="1" applyAlignment="1" applyProtection="1">
      <alignment horizontal="left" vertical="center"/>
    </xf>
    <xf numFmtId="0" fontId="12" fillId="2" borderId="19" xfId="0" applyNumberFormat="1" applyFont="1" applyFill="1" applyBorder="1" applyAlignment="1" applyProtection="1">
      <alignment horizontal="left" vertical="center"/>
    </xf>
    <xf numFmtId="49" fontId="6" fillId="0" borderId="59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64" xfId="0" applyNumberFormat="1" applyFont="1" applyFill="1" applyBorder="1" applyAlignment="1" applyProtection="1">
      <alignment horizontal="left" vertical="center"/>
    </xf>
    <xf numFmtId="0" fontId="6" fillId="0" borderId="65" xfId="0" applyNumberFormat="1" applyFont="1" applyFill="1" applyBorder="1" applyAlignment="1" applyProtection="1">
      <alignment horizontal="left" vertical="center"/>
    </xf>
    <xf numFmtId="49" fontId="11" fillId="4" borderId="30" xfId="0" applyNumberFormat="1" applyFont="1" applyFill="1" applyBorder="1" applyAlignment="1" applyProtection="1">
      <alignment horizontal="left" vertical="center"/>
    </xf>
    <xf numFmtId="0" fontId="11" fillId="4" borderId="30" xfId="0" applyNumberFormat="1" applyFont="1" applyFill="1" applyBorder="1" applyAlignment="1" applyProtection="1">
      <alignment horizontal="left" vertical="center"/>
    </xf>
    <xf numFmtId="49" fontId="17" fillId="0" borderId="61" xfId="0" applyNumberFormat="1" applyFont="1" applyFill="1" applyBorder="1" applyAlignment="1" applyProtection="1">
      <alignment horizontal="center" vertical="center"/>
    </xf>
    <xf numFmtId="0" fontId="17" fillId="0" borderId="62" xfId="0" applyNumberFormat="1" applyFont="1" applyFill="1" applyBorder="1" applyAlignment="1" applyProtection="1">
      <alignment horizontal="center" vertical="center"/>
    </xf>
    <xf numFmtId="0" fontId="17" fillId="0" borderId="63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6" fillId="7" borderId="30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FF0000"/>
      <rgbColor rgb="00800000"/>
      <rgbColor rgb="00000000"/>
      <rgbColor rgb="00DBDBDB"/>
      <rgbColor rgb="00FF0000"/>
      <rgbColor rgb="00FFFF00"/>
      <rgbColor rgb="00FFFFFF"/>
      <rgbColor rgb="00808080"/>
      <rgbColor rgb="00000000"/>
      <rgbColor rgb="00FF0000"/>
      <rgbColor rgb="00000000"/>
      <rgbColor rgb="00000000"/>
      <rgbColor rgb="000000FF"/>
      <rgbColor rgb="00008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6"/>
  <sheetViews>
    <sheetView tabSelected="1" workbookViewId="0">
      <selection sqref="A1:I1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42.75" customHeight="1" x14ac:dyDescent="0.2">
      <c r="A1" s="102" t="s">
        <v>22</v>
      </c>
      <c r="B1" s="103"/>
      <c r="C1" s="103"/>
      <c r="D1" s="103"/>
      <c r="E1" s="103"/>
      <c r="F1" s="103"/>
      <c r="G1" s="103"/>
      <c r="H1" s="103"/>
      <c r="I1" s="104"/>
    </row>
    <row r="2" spans="1:10" x14ac:dyDescent="0.2">
      <c r="A2" s="140" t="s">
        <v>0</v>
      </c>
      <c r="B2" s="133"/>
      <c r="C2" s="148" t="str">
        <f>'Stavební rozpočet'!C2</f>
        <v>DOMOV JISTOTY p. o.</v>
      </c>
      <c r="D2" s="149"/>
      <c r="E2" s="142" t="s">
        <v>31</v>
      </c>
      <c r="F2" s="142" t="str">
        <f>'Stavební rozpočet'!H2</f>
        <v>Domov jistoty p.o., Bohumín</v>
      </c>
      <c r="G2" s="133"/>
      <c r="H2" s="142" t="s">
        <v>51</v>
      </c>
      <c r="I2" s="145" t="s">
        <v>55</v>
      </c>
      <c r="J2" s="32"/>
    </row>
    <row r="3" spans="1:10" x14ac:dyDescent="0.2">
      <c r="A3" s="141"/>
      <c r="B3" s="133"/>
      <c r="C3" s="149"/>
      <c r="D3" s="149"/>
      <c r="E3" s="133"/>
      <c r="F3" s="133"/>
      <c r="G3" s="133"/>
      <c r="H3" s="133"/>
      <c r="I3" s="144"/>
      <c r="J3" s="32"/>
    </row>
    <row r="4" spans="1:10" x14ac:dyDescent="0.2">
      <c r="A4" s="140" t="s">
        <v>1</v>
      </c>
      <c r="B4" s="133"/>
      <c r="C4" s="146" t="str">
        <f>'Stavební rozpočet'!C4</f>
        <v>STAV. ÚPR. ADMIN. OBJEKTU</v>
      </c>
      <c r="D4" s="147"/>
      <c r="E4" s="142" t="s">
        <v>32</v>
      </c>
      <c r="F4" s="142" t="str">
        <f>'Stavební rozpočet'!H4</f>
        <v>Šebela, Vrátník,Mazurková</v>
      </c>
      <c r="G4" s="133"/>
      <c r="H4" s="142" t="s">
        <v>51</v>
      </c>
      <c r="I4" s="145" t="s">
        <v>56</v>
      </c>
      <c r="J4" s="32"/>
    </row>
    <row r="5" spans="1:10" x14ac:dyDescent="0.2">
      <c r="A5" s="141"/>
      <c r="B5" s="133"/>
      <c r="C5" s="147"/>
      <c r="D5" s="147"/>
      <c r="E5" s="133"/>
      <c r="F5" s="133"/>
      <c r="G5" s="133"/>
      <c r="H5" s="133"/>
      <c r="I5" s="144"/>
      <c r="J5" s="32"/>
    </row>
    <row r="6" spans="1:10" x14ac:dyDescent="0.2">
      <c r="A6" s="140" t="s">
        <v>2</v>
      </c>
      <c r="B6" s="133"/>
      <c r="C6" s="142" t="str">
        <f>'Stavební rozpočet'!C6</f>
        <v>Starý Bohumín, Slezská 164</v>
      </c>
      <c r="D6" s="133"/>
      <c r="E6" s="142" t="s">
        <v>33</v>
      </c>
      <c r="F6" s="142" t="str">
        <f>'Stavební rozpočet'!H6</f>
        <v>Dle výsledků VŘ</v>
      </c>
      <c r="G6" s="133"/>
      <c r="H6" s="142" t="s">
        <v>51</v>
      </c>
      <c r="I6" s="145"/>
      <c r="J6" s="32"/>
    </row>
    <row r="7" spans="1:10" x14ac:dyDescent="0.2">
      <c r="A7" s="141"/>
      <c r="B7" s="133"/>
      <c r="C7" s="133"/>
      <c r="D7" s="133"/>
      <c r="E7" s="133"/>
      <c r="F7" s="133"/>
      <c r="G7" s="133"/>
      <c r="H7" s="133"/>
      <c r="I7" s="144"/>
      <c r="J7" s="32"/>
    </row>
    <row r="8" spans="1:10" x14ac:dyDescent="0.2">
      <c r="A8" s="140" t="s">
        <v>3</v>
      </c>
      <c r="B8" s="133"/>
      <c r="C8" s="142" t="str">
        <f>'Stavební rozpočet'!E4</f>
        <v xml:space="preserve"> </v>
      </c>
      <c r="D8" s="133"/>
      <c r="E8" s="142" t="s">
        <v>34</v>
      </c>
      <c r="F8" s="142" t="str">
        <f>'Stavební rozpočet'!E6</f>
        <v xml:space="preserve"> </v>
      </c>
      <c r="G8" s="133"/>
      <c r="H8" s="132" t="s">
        <v>52</v>
      </c>
      <c r="I8" s="145" t="s">
        <v>57</v>
      </c>
      <c r="J8" s="32"/>
    </row>
    <row r="9" spans="1:10" x14ac:dyDescent="0.2">
      <c r="A9" s="141"/>
      <c r="B9" s="133"/>
      <c r="C9" s="133"/>
      <c r="D9" s="133"/>
      <c r="E9" s="133"/>
      <c r="F9" s="133"/>
      <c r="G9" s="133"/>
      <c r="H9" s="133"/>
      <c r="I9" s="144"/>
      <c r="J9" s="32"/>
    </row>
    <row r="10" spans="1:10" x14ac:dyDescent="0.2">
      <c r="A10" s="140" t="s">
        <v>4</v>
      </c>
      <c r="B10" s="133"/>
      <c r="C10" s="142">
        <f>'Stavební rozpočet'!C8</f>
        <v>8016112</v>
      </c>
      <c r="D10" s="133"/>
      <c r="E10" s="142" t="s">
        <v>35</v>
      </c>
      <c r="F10" s="142" t="str">
        <f>'Stavební rozpočet'!H8</f>
        <v>I. Vrátník</v>
      </c>
      <c r="G10" s="133"/>
      <c r="H10" s="132" t="s">
        <v>53</v>
      </c>
      <c r="I10" s="143" t="str">
        <f>'Stavební rozpočet'!E8</f>
        <v>15.11.2021</v>
      </c>
      <c r="J10" s="32"/>
    </row>
    <row r="11" spans="1:10" x14ac:dyDescent="0.2">
      <c r="A11" s="141"/>
      <c r="B11" s="133"/>
      <c r="C11" s="133"/>
      <c r="D11" s="133"/>
      <c r="E11" s="133"/>
      <c r="F11" s="133"/>
      <c r="G11" s="133"/>
      <c r="H11" s="133"/>
      <c r="I11" s="144"/>
      <c r="J11" s="32"/>
    </row>
    <row r="12" spans="1:10" ht="23.45" customHeight="1" x14ac:dyDescent="0.2">
      <c r="A12" s="134" t="s">
        <v>5</v>
      </c>
      <c r="B12" s="135"/>
      <c r="C12" s="135"/>
      <c r="D12" s="135"/>
      <c r="E12" s="135"/>
      <c r="F12" s="135"/>
      <c r="G12" s="135"/>
      <c r="H12" s="135"/>
      <c r="I12" s="136"/>
    </row>
    <row r="13" spans="1:10" ht="26.45" customHeight="1" x14ac:dyDescent="0.2">
      <c r="A13" s="33" t="s">
        <v>6</v>
      </c>
      <c r="B13" s="137" t="s">
        <v>19</v>
      </c>
      <c r="C13" s="138"/>
      <c r="D13" s="34" t="s">
        <v>23</v>
      </c>
      <c r="E13" s="137" t="s">
        <v>36</v>
      </c>
      <c r="F13" s="138"/>
      <c r="G13" s="34" t="s">
        <v>37</v>
      </c>
      <c r="H13" s="137" t="s">
        <v>54</v>
      </c>
      <c r="I13" s="139"/>
      <c r="J13" s="32"/>
    </row>
    <row r="14" spans="1:10" ht="15.2" customHeight="1" x14ac:dyDescent="0.2">
      <c r="A14" s="41" t="s">
        <v>7</v>
      </c>
      <c r="B14" s="42" t="s">
        <v>20</v>
      </c>
      <c r="C14" s="43">
        <f>SUM('Stavební rozpočet'!AB12:AB641)</f>
        <v>0</v>
      </c>
      <c r="D14" s="132" t="s">
        <v>24</v>
      </c>
      <c r="E14" s="133"/>
      <c r="F14" s="43">
        <v>0</v>
      </c>
      <c r="G14" s="132" t="s">
        <v>38</v>
      </c>
      <c r="H14" s="133"/>
      <c r="I14" s="44" t="s">
        <v>58</v>
      </c>
      <c r="J14" s="32"/>
    </row>
    <row r="15" spans="1:10" ht="15.2" customHeight="1" x14ac:dyDescent="0.2">
      <c r="A15" s="41"/>
      <c r="B15" s="42" t="s">
        <v>21</v>
      </c>
      <c r="C15" s="43">
        <f>SUM('Stavební rozpočet'!AC12:AC641)</f>
        <v>0</v>
      </c>
      <c r="D15" s="132" t="s">
        <v>25</v>
      </c>
      <c r="E15" s="133"/>
      <c r="F15" s="43">
        <v>0</v>
      </c>
      <c r="G15" s="132" t="s">
        <v>39</v>
      </c>
      <c r="H15" s="133"/>
      <c r="I15" s="44" t="s">
        <v>58</v>
      </c>
      <c r="J15" s="32"/>
    </row>
    <row r="16" spans="1:10" ht="15.2" customHeight="1" x14ac:dyDescent="0.2">
      <c r="A16" s="41" t="s">
        <v>8</v>
      </c>
      <c r="B16" s="42" t="s">
        <v>20</v>
      </c>
      <c r="C16" s="43">
        <f>SUM('Stavební rozpočet'!AD12:AD641)</f>
        <v>0</v>
      </c>
      <c r="D16" s="132" t="s">
        <v>26</v>
      </c>
      <c r="E16" s="133"/>
      <c r="F16" s="43">
        <v>0</v>
      </c>
      <c r="G16" s="132" t="s">
        <v>40</v>
      </c>
      <c r="H16" s="133"/>
      <c r="I16" s="44" t="s">
        <v>58</v>
      </c>
      <c r="J16" s="32"/>
    </row>
    <row r="17" spans="1:10" ht="15.2" customHeight="1" x14ac:dyDescent="0.2">
      <c r="A17" s="41"/>
      <c r="B17" s="42" t="s">
        <v>21</v>
      </c>
      <c r="C17" s="43">
        <f>SUM('Stavební rozpočet'!AE12:AE641)</f>
        <v>0</v>
      </c>
      <c r="D17" s="132"/>
      <c r="E17" s="133"/>
      <c r="F17" s="45"/>
      <c r="G17" s="132" t="s">
        <v>41</v>
      </c>
      <c r="H17" s="133"/>
      <c r="I17" s="44" t="s">
        <v>58</v>
      </c>
      <c r="J17" s="32"/>
    </row>
    <row r="18" spans="1:10" ht="15.2" customHeight="1" x14ac:dyDescent="0.2">
      <c r="A18" s="41" t="s">
        <v>9</v>
      </c>
      <c r="B18" s="42" t="s">
        <v>20</v>
      </c>
      <c r="C18" s="43">
        <f>SUM('Stavební rozpočet'!AF12:AF641)</f>
        <v>0</v>
      </c>
      <c r="D18" s="132"/>
      <c r="E18" s="133"/>
      <c r="F18" s="45"/>
      <c r="G18" s="132" t="s">
        <v>42</v>
      </c>
      <c r="H18" s="133"/>
      <c r="I18" s="44" t="s">
        <v>58</v>
      </c>
      <c r="J18" s="32"/>
    </row>
    <row r="19" spans="1:10" ht="15.2" customHeight="1" x14ac:dyDescent="0.2">
      <c r="A19" s="41"/>
      <c r="B19" s="42" t="s">
        <v>21</v>
      </c>
      <c r="C19" s="43">
        <f>SUM('Stavební rozpočet'!AG12:AG641)</f>
        <v>0</v>
      </c>
      <c r="D19" s="132"/>
      <c r="E19" s="133"/>
      <c r="F19" s="45"/>
      <c r="G19" s="132" t="s">
        <v>43</v>
      </c>
      <c r="H19" s="133"/>
      <c r="I19" s="44" t="s">
        <v>58</v>
      </c>
      <c r="J19" s="32"/>
    </row>
    <row r="20" spans="1:10" ht="15.2" customHeight="1" x14ac:dyDescent="0.2">
      <c r="A20" s="131" t="s">
        <v>10</v>
      </c>
      <c r="B20" s="125"/>
      <c r="C20" s="43">
        <f>SUM('Stavební rozpočet'!AH12:AH641)</f>
        <v>0</v>
      </c>
      <c r="D20" s="132"/>
      <c r="E20" s="133"/>
      <c r="F20" s="45"/>
      <c r="G20" s="132"/>
      <c r="H20" s="133"/>
      <c r="I20" s="44"/>
      <c r="J20" s="32"/>
    </row>
    <row r="21" spans="1:10" ht="15.2" customHeight="1" x14ac:dyDescent="0.2">
      <c r="A21" s="131" t="s">
        <v>11</v>
      </c>
      <c r="B21" s="125"/>
      <c r="C21" s="43">
        <f>SUM('Stavební rozpočet'!Z12:Z641)</f>
        <v>0</v>
      </c>
      <c r="D21" s="132"/>
      <c r="E21" s="133"/>
      <c r="F21" s="45"/>
      <c r="G21" s="132"/>
      <c r="H21" s="133"/>
      <c r="I21" s="44"/>
      <c r="J21" s="32"/>
    </row>
    <row r="22" spans="1:10" ht="16.7" customHeight="1" x14ac:dyDescent="0.2">
      <c r="A22" s="131" t="s">
        <v>12</v>
      </c>
      <c r="B22" s="125"/>
      <c r="C22" s="43">
        <f>SUM(C14:C21)</f>
        <v>0</v>
      </c>
      <c r="D22" s="124" t="s">
        <v>27</v>
      </c>
      <c r="E22" s="125"/>
      <c r="F22" s="43">
        <f>SUM(F14:F21)</f>
        <v>0</v>
      </c>
      <c r="G22" s="124" t="s">
        <v>44</v>
      </c>
      <c r="H22" s="125"/>
      <c r="I22" s="46">
        <f>SUM(I14:I21)</f>
        <v>0</v>
      </c>
      <c r="J22" s="32"/>
    </row>
    <row r="23" spans="1:10" ht="15.2" customHeight="1" x14ac:dyDescent="0.2">
      <c r="A23" s="47"/>
      <c r="B23" s="48"/>
      <c r="C23" s="48"/>
      <c r="D23" s="124" t="s">
        <v>28</v>
      </c>
      <c r="E23" s="125"/>
      <c r="F23" s="43">
        <v>0</v>
      </c>
      <c r="G23" s="124" t="s">
        <v>45</v>
      </c>
      <c r="H23" s="125"/>
      <c r="I23" s="46">
        <v>0</v>
      </c>
      <c r="J23" s="32"/>
    </row>
    <row r="24" spans="1:10" ht="15.2" customHeight="1" x14ac:dyDescent="0.2">
      <c r="A24" s="49"/>
      <c r="B24" s="50"/>
      <c r="C24" s="50"/>
      <c r="D24" s="48"/>
      <c r="E24" s="48"/>
      <c r="F24" s="48"/>
      <c r="G24" s="124" t="s">
        <v>46</v>
      </c>
      <c r="H24" s="125"/>
      <c r="I24" s="51"/>
    </row>
    <row r="25" spans="1:10" ht="15.2" customHeight="1" x14ac:dyDescent="0.2">
      <c r="A25" s="49"/>
      <c r="B25" s="50"/>
      <c r="C25" s="50"/>
      <c r="D25" s="50"/>
      <c r="E25" s="50"/>
      <c r="F25" s="48"/>
      <c r="G25" s="124" t="s">
        <v>47</v>
      </c>
      <c r="H25" s="125"/>
      <c r="I25" s="46">
        <v>0</v>
      </c>
      <c r="J25" s="32"/>
    </row>
    <row r="26" spans="1:10" ht="15.2" customHeight="1" x14ac:dyDescent="0.2">
      <c r="A26" s="126" t="s">
        <v>13</v>
      </c>
      <c r="B26" s="127"/>
      <c r="C26" s="53">
        <f>SUM('Stavební rozpočet'!AJ12:AJ641)</f>
        <v>0</v>
      </c>
      <c r="D26" s="48"/>
      <c r="E26" s="48"/>
      <c r="F26" s="48"/>
      <c r="G26" s="48"/>
      <c r="H26" s="48"/>
      <c r="I26" s="51"/>
    </row>
    <row r="27" spans="1:10" ht="15.2" customHeight="1" x14ac:dyDescent="0.2">
      <c r="A27" s="128" t="s">
        <v>1167</v>
      </c>
      <c r="B27" s="129"/>
      <c r="C27" s="98">
        <v>0</v>
      </c>
      <c r="D27" s="130"/>
      <c r="E27" s="127"/>
      <c r="F27" s="53"/>
      <c r="G27" s="123" t="s">
        <v>48</v>
      </c>
      <c r="H27" s="122"/>
      <c r="I27" s="54">
        <f>SUM(C26:C28)</f>
        <v>0</v>
      </c>
      <c r="J27" s="32"/>
    </row>
    <row r="28" spans="1:10" ht="15.2" customHeight="1" x14ac:dyDescent="0.2">
      <c r="A28" s="121" t="s">
        <v>14</v>
      </c>
      <c r="B28" s="122"/>
      <c r="C28" s="52">
        <f>SUM('Stavební rozpočet'!AL12:AL641)+(F22+I22+F23+I23+I24+I25)</f>
        <v>0</v>
      </c>
      <c r="D28" s="123" t="s">
        <v>29</v>
      </c>
      <c r="E28" s="122"/>
      <c r="F28" s="52">
        <f>ROUND(C28*(21/100),2)</f>
        <v>0</v>
      </c>
      <c r="G28" s="123" t="s">
        <v>49</v>
      </c>
      <c r="H28" s="122"/>
      <c r="I28" s="54">
        <f>SUM(F27:F28)+I27</f>
        <v>0</v>
      </c>
      <c r="J28" s="32"/>
    </row>
    <row r="29" spans="1:10" x14ac:dyDescent="0.2">
      <c r="A29" s="37"/>
      <c r="B29" s="38"/>
      <c r="C29" s="38"/>
      <c r="D29" s="38"/>
      <c r="E29" s="38"/>
      <c r="F29" s="38"/>
      <c r="G29" s="38"/>
      <c r="H29" s="38"/>
      <c r="I29" s="40"/>
    </row>
    <row r="30" spans="1:10" ht="14.45" customHeight="1" x14ac:dyDescent="0.2">
      <c r="A30" s="109" t="s">
        <v>15</v>
      </c>
      <c r="B30" s="110"/>
      <c r="C30" s="110"/>
      <c r="D30" s="111" t="s">
        <v>30</v>
      </c>
      <c r="E30" s="110"/>
      <c r="F30" s="110"/>
      <c r="G30" s="112" t="s">
        <v>50</v>
      </c>
      <c r="H30" s="113"/>
      <c r="I30" s="114"/>
      <c r="J30" s="32"/>
    </row>
    <row r="31" spans="1:10" ht="14.45" customHeight="1" x14ac:dyDescent="0.2">
      <c r="A31" s="109"/>
      <c r="B31" s="110"/>
      <c r="C31" s="110"/>
      <c r="D31" s="111"/>
      <c r="E31" s="110"/>
      <c r="F31" s="110"/>
      <c r="G31" s="112"/>
      <c r="H31" s="113"/>
      <c r="I31" s="114"/>
      <c r="J31" s="32"/>
    </row>
    <row r="32" spans="1:10" ht="14.45" customHeight="1" x14ac:dyDescent="0.2">
      <c r="A32" s="109"/>
      <c r="B32" s="110"/>
      <c r="C32" s="110"/>
      <c r="D32" s="111"/>
      <c r="E32" s="110"/>
      <c r="F32" s="110"/>
      <c r="G32" s="112"/>
      <c r="H32" s="113"/>
      <c r="I32" s="114"/>
      <c r="J32" s="32"/>
    </row>
    <row r="33" spans="1:10" ht="14.45" customHeight="1" x14ac:dyDescent="0.2">
      <c r="A33" s="109"/>
      <c r="B33" s="110"/>
      <c r="C33" s="110"/>
      <c r="D33" s="111"/>
      <c r="E33" s="110"/>
      <c r="F33" s="110"/>
      <c r="G33" s="112"/>
      <c r="H33" s="113"/>
      <c r="I33" s="114"/>
      <c r="J33" s="32"/>
    </row>
    <row r="34" spans="1:10" ht="14.45" customHeight="1" x14ac:dyDescent="0.2">
      <c r="A34" s="115" t="s">
        <v>16</v>
      </c>
      <c r="B34" s="116"/>
      <c r="C34" s="116"/>
      <c r="D34" s="117" t="s">
        <v>16</v>
      </c>
      <c r="E34" s="116"/>
      <c r="F34" s="116"/>
      <c r="G34" s="118" t="s">
        <v>16</v>
      </c>
      <c r="H34" s="119"/>
      <c r="I34" s="120"/>
      <c r="J34" s="32"/>
    </row>
    <row r="35" spans="1:10" ht="11.25" customHeight="1" x14ac:dyDescent="0.2">
      <c r="A35" s="39" t="s">
        <v>17</v>
      </c>
      <c r="B35" s="105"/>
      <c r="C35" s="106"/>
      <c r="D35" s="106"/>
      <c r="E35" s="106"/>
      <c r="F35" s="106"/>
      <c r="G35" s="107"/>
      <c r="H35" s="107"/>
      <c r="I35" s="108"/>
    </row>
    <row r="36" spans="1:10" ht="38.450000000000003" customHeight="1" thickBot="1" x14ac:dyDescent="0.25">
      <c r="A36" s="99" t="s">
        <v>1168</v>
      </c>
      <c r="B36" s="100"/>
      <c r="C36" s="100"/>
      <c r="D36" s="100"/>
      <c r="E36" s="100"/>
      <c r="F36" s="100"/>
      <c r="G36" s="100"/>
      <c r="H36" s="100"/>
      <c r="I36" s="101"/>
    </row>
  </sheetData>
  <mergeCells count="84">
    <mergeCell ref="A2:B3"/>
    <mergeCell ref="C2:D3"/>
    <mergeCell ref="E2:E3"/>
    <mergeCell ref="F2:G3"/>
    <mergeCell ref="H2:H3"/>
    <mergeCell ref="I2:I3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6:I7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10:I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G30:I30"/>
    <mergeCell ref="D23:E23"/>
    <mergeCell ref="G23:H23"/>
    <mergeCell ref="G24:H24"/>
    <mergeCell ref="G25:H25"/>
    <mergeCell ref="A26:B26"/>
    <mergeCell ref="A27:B27"/>
    <mergeCell ref="D27:E27"/>
    <mergeCell ref="G27:H27"/>
    <mergeCell ref="D31:F31"/>
    <mergeCell ref="G31:I31"/>
    <mergeCell ref="A32:C32"/>
    <mergeCell ref="D32:F32"/>
    <mergeCell ref="G32:I32"/>
    <mergeCell ref="A28:B28"/>
    <mergeCell ref="D28:E28"/>
    <mergeCell ref="G28:H28"/>
    <mergeCell ref="A30:C30"/>
    <mergeCell ref="D30:F30"/>
    <mergeCell ref="A36:I36"/>
    <mergeCell ref="A1:I1"/>
    <mergeCell ref="B35:I35"/>
    <mergeCell ref="A33:C33"/>
    <mergeCell ref="D33:F33"/>
    <mergeCell ref="G33:I33"/>
    <mergeCell ref="A34:C34"/>
    <mergeCell ref="D34:F34"/>
    <mergeCell ref="G34:I34"/>
    <mergeCell ref="A31:C31"/>
  </mergeCells>
  <pageMargins left="0.78740157480314965" right="0.19685039370078741" top="0.19685039370078741" bottom="0.19685039370078741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0"/>
  <sheetViews>
    <sheetView workbookViewId="0">
      <pane ySplit="11" topLeftCell="A12" activePane="bottomLeft" state="frozenSplit"/>
      <selection pane="bottomLeft" sqref="A1:L1"/>
    </sheetView>
  </sheetViews>
  <sheetFormatPr defaultColWidth="11.5703125" defaultRowHeight="12.75" x14ac:dyDescent="0.2"/>
  <cols>
    <col min="1" max="8" width="15.7109375" customWidth="1"/>
    <col min="9" max="12" width="14.28515625" customWidth="1"/>
    <col min="13" max="16" width="12.140625" hidden="1" customWidth="1"/>
  </cols>
  <sheetData>
    <row r="1" spans="1:16" ht="55.5" customHeight="1" x14ac:dyDescent="0.2">
      <c r="A1" s="176" t="s">
        <v>59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</row>
    <row r="2" spans="1:16" x14ac:dyDescent="0.2">
      <c r="A2" s="179" t="s">
        <v>0</v>
      </c>
      <c r="B2" s="180"/>
      <c r="C2" s="180"/>
      <c r="D2" s="181" t="str">
        <f>'Stavební rozpočet'!C2</f>
        <v>DOMOV JISTOTY p. o.</v>
      </c>
      <c r="E2" s="182"/>
      <c r="F2" s="182"/>
      <c r="G2" s="184" t="s">
        <v>68</v>
      </c>
      <c r="H2" s="184" t="str">
        <f>'Stavební rozpočet'!E2</f>
        <v xml:space="preserve"> </v>
      </c>
      <c r="I2" s="184" t="s">
        <v>31</v>
      </c>
      <c r="J2" s="184" t="str">
        <f>'Stavební rozpočet'!H2</f>
        <v>Domov jistoty p.o., Bohumín</v>
      </c>
      <c r="K2" s="180"/>
      <c r="L2" s="185"/>
      <c r="M2" s="32"/>
    </row>
    <row r="3" spans="1:16" x14ac:dyDescent="0.2">
      <c r="A3" s="173"/>
      <c r="B3" s="169"/>
      <c r="C3" s="169"/>
      <c r="D3" s="183"/>
      <c r="E3" s="183"/>
      <c r="F3" s="183"/>
      <c r="G3" s="169"/>
      <c r="H3" s="169"/>
      <c r="I3" s="169"/>
      <c r="J3" s="169"/>
      <c r="K3" s="169"/>
      <c r="L3" s="172"/>
      <c r="M3" s="32"/>
    </row>
    <row r="4" spans="1:16" x14ac:dyDescent="0.2">
      <c r="A4" s="168" t="s">
        <v>1</v>
      </c>
      <c r="B4" s="169"/>
      <c r="C4" s="169"/>
      <c r="D4" s="174" t="str">
        <f>'Stavební rozpočet'!C4</f>
        <v>STAV. ÚPR. ADMIN. OBJEKTU</v>
      </c>
      <c r="E4" s="175"/>
      <c r="F4" s="175"/>
      <c r="G4" s="171" t="s">
        <v>3</v>
      </c>
      <c r="H4" s="171" t="str">
        <f>'Stavební rozpočet'!E4</f>
        <v xml:space="preserve"> </v>
      </c>
      <c r="I4" s="171" t="s">
        <v>32</v>
      </c>
      <c r="J4" s="171" t="str">
        <f>'Stavební rozpočet'!H4</f>
        <v>Šebela, Vrátník,Mazurková</v>
      </c>
      <c r="K4" s="169"/>
      <c r="L4" s="172"/>
      <c r="M4" s="32"/>
    </row>
    <row r="5" spans="1:16" x14ac:dyDescent="0.2">
      <c r="A5" s="173"/>
      <c r="B5" s="169"/>
      <c r="C5" s="169"/>
      <c r="D5" s="175"/>
      <c r="E5" s="175"/>
      <c r="F5" s="175"/>
      <c r="G5" s="169"/>
      <c r="H5" s="169"/>
      <c r="I5" s="169"/>
      <c r="J5" s="169"/>
      <c r="K5" s="169"/>
      <c r="L5" s="172"/>
      <c r="M5" s="32"/>
    </row>
    <row r="6" spans="1:16" x14ac:dyDescent="0.2">
      <c r="A6" s="168" t="s">
        <v>2</v>
      </c>
      <c r="B6" s="169"/>
      <c r="C6" s="169"/>
      <c r="D6" s="171" t="str">
        <f>'Stavební rozpočet'!C6</f>
        <v>Starý Bohumín, Slezská 164</v>
      </c>
      <c r="E6" s="169"/>
      <c r="F6" s="169"/>
      <c r="G6" s="171" t="s">
        <v>34</v>
      </c>
      <c r="H6" s="171" t="str">
        <f>'Stavební rozpočet'!E6</f>
        <v xml:space="preserve"> </v>
      </c>
      <c r="I6" s="171" t="s">
        <v>33</v>
      </c>
      <c r="J6" s="171" t="str">
        <f>'Stavební rozpočet'!H6</f>
        <v>Dle výsledků VŘ</v>
      </c>
      <c r="K6" s="169"/>
      <c r="L6" s="172"/>
      <c r="M6" s="32"/>
    </row>
    <row r="7" spans="1:16" x14ac:dyDescent="0.2">
      <c r="A7" s="173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72"/>
      <c r="M7" s="32"/>
    </row>
    <row r="8" spans="1:16" x14ac:dyDescent="0.2">
      <c r="A8" s="168" t="s">
        <v>4</v>
      </c>
      <c r="B8" s="169"/>
      <c r="C8" s="169"/>
      <c r="D8" s="171">
        <f>'Stavební rozpočet'!C8</f>
        <v>8016112</v>
      </c>
      <c r="E8" s="169"/>
      <c r="F8" s="169"/>
      <c r="G8" s="171" t="s">
        <v>69</v>
      </c>
      <c r="H8" s="171" t="str">
        <f>'Stavební rozpočet'!E8</f>
        <v>15.11.2021</v>
      </c>
      <c r="I8" s="171" t="s">
        <v>35</v>
      </c>
      <c r="J8" s="171" t="str">
        <f>'Stavební rozpočet'!H8</f>
        <v>I. Vrátník</v>
      </c>
      <c r="K8" s="169"/>
      <c r="L8" s="172"/>
      <c r="M8" s="32"/>
    </row>
    <row r="9" spans="1:16" ht="13.5" thickBot="1" x14ac:dyDescent="0.25">
      <c r="A9" s="17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1"/>
      <c r="M9" s="32"/>
    </row>
    <row r="10" spans="1:16" x14ac:dyDescent="0.2">
      <c r="A10" s="159" t="s">
        <v>60</v>
      </c>
      <c r="B10" s="160"/>
      <c r="C10" s="160"/>
      <c r="D10" s="160"/>
      <c r="E10" s="160"/>
      <c r="F10" s="160"/>
      <c r="G10" s="160"/>
      <c r="H10" s="161"/>
      <c r="I10" s="162" t="s">
        <v>70</v>
      </c>
      <c r="J10" s="163"/>
      <c r="K10" s="164"/>
      <c r="L10" s="8" t="s">
        <v>74</v>
      </c>
      <c r="M10" s="32"/>
    </row>
    <row r="11" spans="1:16" ht="13.5" thickBot="1" x14ac:dyDescent="0.25">
      <c r="A11" s="165" t="s">
        <v>61</v>
      </c>
      <c r="B11" s="166"/>
      <c r="C11" s="166"/>
      <c r="D11" s="166"/>
      <c r="E11" s="166"/>
      <c r="F11" s="166"/>
      <c r="G11" s="166"/>
      <c r="H11" s="167"/>
      <c r="I11" s="5" t="s">
        <v>71</v>
      </c>
      <c r="J11" s="6" t="s">
        <v>21</v>
      </c>
      <c r="K11" s="7" t="s">
        <v>73</v>
      </c>
      <c r="L11" s="9" t="s">
        <v>73</v>
      </c>
      <c r="M11" s="32"/>
    </row>
    <row r="12" spans="1:16" x14ac:dyDescent="0.2">
      <c r="A12" s="159" t="s">
        <v>62</v>
      </c>
      <c r="B12" s="160"/>
      <c r="C12" s="160"/>
      <c r="D12" s="160"/>
      <c r="E12" s="160"/>
      <c r="F12" s="160"/>
      <c r="G12" s="160"/>
      <c r="H12" s="160"/>
      <c r="I12" s="10">
        <f>'Stavební rozpočet'!I12</f>
        <v>0</v>
      </c>
      <c r="J12" s="10">
        <f>'Stavební rozpočet'!J12</f>
        <v>0</v>
      </c>
      <c r="K12" s="10">
        <f>'Stavební rozpočet'!K12</f>
        <v>0</v>
      </c>
      <c r="L12" s="56">
        <f>'Stavební rozpočet'!L12</f>
        <v>673311.21628000005</v>
      </c>
      <c r="M12" s="11" t="s">
        <v>75</v>
      </c>
      <c r="N12" s="11">
        <f t="shared" ref="N12:N17" si="0">IF(M12="F",0,K12)</f>
        <v>0</v>
      </c>
      <c r="O12" s="2" t="s">
        <v>76</v>
      </c>
      <c r="P12" s="11">
        <f t="shared" ref="P12:P17" si="1">IF(M12="T",0,K12)</f>
        <v>0</v>
      </c>
    </row>
    <row r="13" spans="1:16" x14ac:dyDescent="0.2">
      <c r="A13" s="150" t="s">
        <v>63</v>
      </c>
      <c r="B13" s="151"/>
      <c r="C13" s="151"/>
      <c r="D13" s="151"/>
      <c r="E13" s="151"/>
      <c r="F13" s="151"/>
      <c r="G13" s="151"/>
      <c r="H13" s="151"/>
      <c r="I13" s="11">
        <f>'Stavební rozpočet'!I274</f>
        <v>0</v>
      </c>
      <c r="J13" s="11">
        <f>'Stavební rozpočet'!J274</f>
        <v>0</v>
      </c>
      <c r="K13" s="11">
        <f>'Stavební rozpočet'!K274</f>
        <v>0</v>
      </c>
      <c r="L13" s="57">
        <f>'Stavební rozpočet'!L274</f>
        <v>1285426.13616</v>
      </c>
      <c r="M13" s="11" t="s">
        <v>75</v>
      </c>
      <c r="N13" s="11">
        <f t="shared" si="0"/>
        <v>0</v>
      </c>
      <c r="O13" s="2" t="s">
        <v>77</v>
      </c>
      <c r="P13" s="11">
        <f t="shared" si="1"/>
        <v>0</v>
      </c>
    </row>
    <row r="14" spans="1:16" x14ac:dyDescent="0.2">
      <c r="A14" s="150" t="s">
        <v>64</v>
      </c>
      <c r="B14" s="151"/>
      <c r="C14" s="151"/>
      <c r="D14" s="151"/>
      <c r="E14" s="151"/>
      <c r="F14" s="151"/>
      <c r="G14" s="151"/>
      <c r="H14" s="151"/>
      <c r="I14" s="11">
        <f>'Stavební rozpočet'!I472</f>
        <v>0</v>
      </c>
      <c r="J14" s="11">
        <f>'Stavební rozpočet'!J472</f>
        <v>0</v>
      </c>
      <c r="K14" s="11">
        <f>'Stavební rozpočet'!K472</f>
        <v>0</v>
      </c>
      <c r="L14" s="57">
        <f>'Stavební rozpočet'!L472</f>
        <v>369395.66547999997</v>
      </c>
      <c r="M14" s="11" t="s">
        <v>75</v>
      </c>
      <c r="N14" s="11">
        <f t="shared" si="0"/>
        <v>0</v>
      </c>
      <c r="O14" s="2" t="s">
        <v>78</v>
      </c>
      <c r="P14" s="11">
        <f t="shared" si="1"/>
        <v>0</v>
      </c>
    </row>
    <row r="15" spans="1:16" x14ac:dyDescent="0.2">
      <c r="A15" s="150" t="s">
        <v>65</v>
      </c>
      <c r="B15" s="151"/>
      <c r="C15" s="151"/>
      <c r="D15" s="151"/>
      <c r="E15" s="151"/>
      <c r="F15" s="151"/>
      <c r="G15" s="151"/>
      <c r="H15" s="151"/>
      <c r="I15" s="11">
        <f>'Stavební rozpočet'!I538</f>
        <v>0</v>
      </c>
      <c r="J15" s="11">
        <f>'Stavební rozpočet'!J538</f>
        <v>0</v>
      </c>
      <c r="K15" s="11">
        <f>'Stavební rozpočet'!K538</f>
        <v>0</v>
      </c>
      <c r="L15" s="57">
        <f>'Stavební rozpočet'!L538</f>
        <v>191544.44</v>
      </c>
      <c r="M15" s="11" t="s">
        <v>75</v>
      </c>
      <c r="N15" s="11">
        <f t="shared" si="0"/>
        <v>0</v>
      </c>
      <c r="O15" s="2" t="s">
        <v>79</v>
      </c>
      <c r="P15" s="11">
        <f t="shared" si="1"/>
        <v>0</v>
      </c>
    </row>
    <row r="16" spans="1:16" x14ac:dyDescent="0.2">
      <c r="A16" s="150" t="s">
        <v>66</v>
      </c>
      <c r="B16" s="151"/>
      <c r="C16" s="151"/>
      <c r="D16" s="151"/>
      <c r="E16" s="151"/>
      <c r="F16" s="151"/>
      <c r="G16" s="151"/>
      <c r="H16" s="151"/>
      <c r="I16" s="11">
        <f>'Stavební rozpočet'!I622</f>
        <v>0</v>
      </c>
      <c r="J16" s="11">
        <f>'Stavební rozpočet'!J622</f>
        <v>0</v>
      </c>
      <c r="K16" s="11">
        <f>'Stavební rozpočet'!K622</f>
        <v>0</v>
      </c>
      <c r="L16" s="57">
        <f>'Stavební rozpočet'!L622</f>
        <v>624</v>
      </c>
      <c r="M16" s="11" t="s">
        <v>75</v>
      </c>
      <c r="N16" s="11">
        <f t="shared" si="0"/>
        <v>0</v>
      </c>
      <c r="O16" s="2" t="s">
        <v>80</v>
      </c>
      <c r="P16" s="11">
        <f t="shared" si="1"/>
        <v>0</v>
      </c>
    </row>
    <row r="17" spans="1:16" x14ac:dyDescent="0.2">
      <c r="A17" s="152" t="s">
        <v>67</v>
      </c>
      <c r="B17" s="153"/>
      <c r="C17" s="153"/>
      <c r="D17" s="153"/>
      <c r="E17" s="153"/>
      <c r="F17" s="153"/>
      <c r="G17" s="153"/>
      <c r="H17" s="153"/>
      <c r="I17" s="12">
        <f>'Stavební rozpočet'!I627</f>
        <v>0</v>
      </c>
      <c r="J17" s="12">
        <f>'Stavební rozpočet'!J627</f>
        <v>0</v>
      </c>
      <c r="K17" s="12">
        <f>'Stavební rozpočet'!K627</f>
        <v>0</v>
      </c>
      <c r="L17" s="58">
        <f>'Stavební rozpočet'!L627</f>
        <v>18498</v>
      </c>
      <c r="M17" s="11" t="s">
        <v>75</v>
      </c>
      <c r="N17" s="11">
        <f t="shared" si="0"/>
        <v>0</v>
      </c>
      <c r="O17" s="2" t="s">
        <v>81</v>
      </c>
      <c r="P17" s="11">
        <f t="shared" si="1"/>
        <v>0</v>
      </c>
    </row>
    <row r="18" spans="1:16" x14ac:dyDescent="0.2">
      <c r="A18" s="59"/>
      <c r="B18" s="1"/>
      <c r="C18" s="1"/>
      <c r="D18" s="1"/>
      <c r="E18" s="1"/>
      <c r="F18" s="1"/>
      <c r="G18" s="1"/>
      <c r="H18" s="1"/>
      <c r="I18" s="154" t="s">
        <v>72</v>
      </c>
      <c r="J18" s="155"/>
      <c r="K18" s="55">
        <f>SUM(P12:P17)</f>
        <v>0</v>
      </c>
      <c r="L18" s="60"/>
    </row>
    <row r="19" spans="1:16" ht="11.25" customHeight="1" x14ac:dyDescent="0.2">
      <c r="A19" s="61" t="s">
        <v>17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3"/>
    </row>
    <row r="20" spans="1:16" ht="38.450000000000003" customHeight="1" thickBot="1" x14ac:dyDescent="0.25">
      <c r="A20" s="156" t="s">
        <v>18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8"/>
    </row>
  </sheetData>
  <mergeCells count="36">
    <mergeCell ref="A1:L1"/>
    <mergeCell ref="A2:C3"/>
    <mergeCell ref="D2:F3"/>
    <mergeCell ref="G2:G3"/>
    <mergeCell ref="H2:H3"/>
    <mergeCell ref="I2:I3"/>
    <mergeCell ref="J2:L3"/>
    <mergeCell ref="A4:C5"/>
    <mergeCell ref="D4:F5"/>
    <mergeCell ref="G4:G5"/>
    <mergeCell ref="H4:H5"/>
    <mergeCell ref="I4:I5"/>
    <mergeCell ref="J4:L5"/>
    <mergeCell ref="J8:L9"/>
    <mergeCell ref="A6:C7"/>
    <mergeCell ref="D6:F7"/>
    <mergeCell ref="G6:G7"/>
    <mergeCell ref="H6:H7"/>
    <mergeCell ref="I6:I7"/>
    <mergeCell ref="J6:L7"/>
    <mergeCell ref="A14:H14"/>
    <mergeCell ref="A8:C9"/>
    <mergeCell ref="D8:F9"/>
    <mergeCell ref="G8:G9"/>
    <mergeCell ref="H8:H9"/>
    <mergeCell ref="I8:I9"/>
    <mergeCell ref="A15:H15"/>
    <mergeCell ref="A16:H16"/>
    <mergeCell ref="A17:H17"/>
    <mergeCell ref="I18:J18"/>
    <mergeCell ref="A20:L20"/>
    <mergeCell ref="A10:H10"/>
    <mergeCell ref="I10:K10"/>
    <mergeCell ref="A11:H11"/>
    <mergeCell ref="A12:H12"/>
    <mergeCell ref="A13:H13"/>
  </mergeCells>
  <pageMargins left="0.39400000000000002" right="0.39400000000000002" top="0.59099999999999997" bottom="0.59099999999999997" header="0.5" footer="0.5"/>
  <pageSetup paperSize="9" scale="7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6"/>
  <sheetViews>
    <sheetView workbookViewId="0">
      <pane ySplit="11" topLeftCell="A12" activePane="bottomLeft" state="frozenSplit"/>
      <selection pane="bottomLeft" sqref="A1:L1"/>
    </sheetView>
  </sheetViews>
  <sheetFormatPr defaultColWidth="11.5703125" defaultRowHeight="12.75" x14ac:dyDescent="0.2"/>
  <cols>
    <col min="1" max="1" width="5.7109375" customWidth="1"/>
    <col min="2" max="8" width="15.7109375" customWidth="1"/>
    <col min="9" max="12" width="14.28515625" customWidth="1"/>
    <col min="13" max="16" width="12.140625" hidden="1" customWidth="1"/>
  </cols>
  <sheetData>
    <row r="1" spans="1:16" ht="54.75" customHeight="1" x14ac:dyDescent="0.2">
      <c r="A1" s="176" t="s">
        <v>82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</row>
    <row r="2" spans="1:16" x14ac:dyDescent="0.2">
      <c r="A2" s="179" t="s">
        <v>0</v>
      </c>
      <c r="B2" s="180"/>
      <c r="C2" s="180"/>
      <c r="D2" s="181" t="str">
        <f>'Stavební rozpočet'!C2</f>
        <v>DOMOV JISTOTY p. o.</v>
      </c>
      <c r="E2" s="182"/>
      <c r="F2" s="182"/>
      <c r="G2" s="184" t="s">
        <v>68</v>
      </c>
      <c r="H2" s="184" t="str">
        <f>'Stavební rozpočet'!E2</f>
        <v xml:space="preserve"> </v>
      </c>
      <c r="I2" s="184" t="s">
        <v>31</v>
      </c>
      <c r="J2" s="184" t="str">
        <f>'Stavební rozpočet'!H2</f>
        <v>Domov jistoty p.o., Bohumín</v>
      </c>
      <c r="K2" s="180"/>
      <c r="L2" s="185"/>
      <c r="M2" s="32"/>
    </row>
    <row r="3" spans="1:16" x14ac:dyDescent="0.2">
      <c r="A3" s="173"/>
      <c r="B3" s="169"/>
      <c r="C3" s="169"/>
      <c r="D3" s="183"/>
      <c r="E3" s="183"/>
      <c r="F3" s="183"/>
      <c r="G3" s="169"/>
      <c r="H3" s="169"/>
      <c r="I3" s="169"/>
      <c r="J3" s="169"/>
      <c r="K3" s="169"/>
      <c r="L3" s="172"/>
      <c r="M3" s="32"/>
    </row>
    <row r="4" spans="1:16" x14ac:dyDescent="0.2">
      <c r="A4" s="168" t="s">
        <v>1</v>
      </c>
      <c r="B4" s="169"/>
      <c r="C4" s="169"/>
      <c r="D4" s="174" t="str">
        <f>'Stavební rozpočet'!C4</f>
        <v>STAV. ÚPR. ADMIN. OBJEKTU</v>
      </c>
      <c r="E4" s="175"/>
      <c r="F4" s="175"/>
      <c r="G4" s="171" t="s">
        <v>3</v>
      </c>
      <c r="H4" s="171" t="str">
        <f>'Stavební rozpočet'!E4</f>
        <v xml:space="preserve"> </v>
      </c>
      <c r="I4" s="171" t="s">
        <v>32</v>
      </c>
      <c r="J4" s="171" t="str">
        <f>'Stavební rozpočet'!H4</f>
        <v>Šebela, Vrátník,Mazurková</v>
      </c>
      <c r="K4" s="169"/>
      <c r="L4" s="172"/>
      <c r="M4" s="32"/>
    </row>
    <row r="5" spans="1:16" x14ac:dyDescent="0.2">
      <c r="A5" s="173"/>
      <c r="B5" s="169"/>
      <c r="C5" s="169"/>
      <c r="D5" s="175"/>
      <c r="E5" s="175"/>
      <c r="F5" s="175"/>
      <c r="G5" s="169"/>
      <c r="H5" s="169"/>
      <c r="I5" s="169"/>
      <c r="J5" s="169"/>
      <c r="K5" s="169"/>
      <c r="L5" s="172"/>
      <c r="M5" s="32"/>
    </row>
    <row r="6" spans="1:16" x14ac:dyDescent="0.2">
      <c r="A6" s="168" t="s">
        <v>2</v>
      </c>
      <c r="B6" s="169"/>
      <c r="C6" s="169"/>
      <c r="D6" s="171" t="str">
        <f>'Stavební rozpočet'!C6</f>
        <v>Starý Bohumín, Slezská 164</v>
      </c>
      <c r="E6" s="169"/>
      <c r="F6" s="169"/>
      <c r="G6" s="171" t="s">
        <v>34</v>
      </c>
      <c r="H6" s="171" t="str">
        <f>'Stavební rozpočet'!E6</f>
        <v xml:space="preserve"> </v>
      </c>
      <c r="I6" s="171" t="s">
        <v>33</v>
      </c>
      <c r="J6" s="171" t="str">
        <f>'Stavební rozpočet'!H6</f>
        <v>Dle výsledků VŘ</v>
      </c>
      <c r="K6" s="169"/>
      <c r="L6" s="172"/>
      <c r="M6" s="32"/>
    </row>
    <row r="7" spans="1:16" x14ac:dyDescent="0.2">
      <c r="A7" s="173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72"/>
      <c r="M7" s="32"/>
    </row>
    <row r="8" spans="1:16" x14ac:dyDescent="0.2">
      <c r="A8" s="168" t="s">
        <v>4</v>
      </c>
      <c r="B8" s="169"/>
      <c r="C8" s="169"/>
      <c r="D8" s="171">
        <f>'Stavební rozpočet'!C8</f>
        <v>8016112</v>
      </c>
      <c r="E8" s="169"/>
      <c r="F8" s="169"/>
      <c r="G8" s="171" t="s">
        <v>69</v>
      </c>
      <c r="H8" s="171" t="str">
        <f>'Stavební rozpočet'!E8</f>
        <v>15.11.2021</v>
      </c>
      <c r="I8" s="171" t="s">
        <v>35</v>
      </c>
      <c r="J8" s="171" t="str">
        <f>'Stavební rozpočet'!H8</f>
        <v>I. Vrátník</v>
      </c>
      <c r="K8" s="169"/>
      <c r="L8" s="172"/>
      <c r="M8" s="32"/>
    </row>
    <row r="9" spans="1:16" ht="13.5" thickBot="1" x14ac:dyDescent="0.25">
      <c r="A9" s="17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1"/>
      <c r="M9" s="32"/>
    </row>
    <row r="10" spans="1:16" x14ac:dyDescent="0.2">
      <c r="A10" s="13" t="s">
        <v>60</v>
      </c>
      <c r="B10" s="189" t="s">
        <v>60</v>
      </c>
      <c r="C10" s="160"/>
      <c r="D10" s="160"/>
      <c r="E10" s="160"/>
      <c r="F10" s="160"/>
      <c r="G10" s="160"/>
      <c r="H10" s="161"/>
      <c r="I10" s="162" t="s">
        <v>70</v>
      </c>
      <c r="J10" s="163"/>
      <c r="K10" s="164"/>
      <c r="L10" s="8" t="s">
        <v>74</v>
      </c>
      <c r="M10" s="32"/>
    </row>
    <row r="11" spans="1:16" ht="13.5" thickBot="1" x14ac:dyDescent="0.25">
      <c r="A11" s="14" t="s">
        <v>83</v>
      </c>
      <c r="B11" s="190" t="s">
        <v>61</v>
      </c>
      <c r="C11" s="166"/>
      <c r="D11" s="166"/>
      <c r="E11" s="166"/>
      <c r="F11" s="166"/>
      <c r="G11" s="166"/>
      <c r="H11" s="167"/>
      <c r="I11" s="5" t="s">
        <v>71</v>
      </c>
      <c r="J11" s="6" t="s">
        <v>21</v>
      </c>
      <c r="K11" s="7" t="s">
        <v>73</v>
      </c>
      <c r="L11" s="9" t="s">
        <v>73</v>
      </c>
      <c r="M11" s="32"/>
    </row>
    <row r="12" spans="1:16" x14ac:dyDescent="0.2">
      <c r="A12" s="67"/>
      <c r="B12" s="191" t="s">
        <v>62</v>
      </c>
      <c r="C12" s="192"/>
      <c r="D12" s="192"/>
      <c r="E12" s="192"/>
      <c r="F12" s="192"/>
      <c r="G12" s="192"/>
      <c r="H12" s="192"/>
      <c r="I12" s="64">
        <f>'Stavební rozpočet'!I12</f>
        <v>0</v>
      </c>
      <c r="J12" s="64">
        <f>'Stavební rozpočet'!J12</f>
        <v>0</v>
      </c>
      <c r="K12" s="64">
        <f>'Stavební rozpočet'!K12</f>
        <v>0</v>
      </c>
      <c r="L12" s="68">
        <f>'Stavební rozpočet'!L12</f>
        <v>673311.21628000005</v>
      </c>
      <c r="M12" s="11" t="s">
        <v>75</v>
      </c>
      <c r="N12" s="11">
        <f t="shared" ref="N12:N43" si="0">IF(M12="F",0,K12)</f>
        <v>0</v>
      </c>
      <c r="O12" s="2" t="s">
        <v>76</v>
      </c>
      <c r="P12" s="11">
        <f t="shared" ref="P12:P43" si="1">IF(M12="T",0,K12)</f>
        <v>0</v>
      </c>
    </row>
    <row r="13" spans="1:16" x14ac:dyDescent="0.2">
      <c r="A13" s="69" t="s">
        <v>84</v>
      </c>
      <c r="B13" s="188" t="s">
        <v>110</v>
      </c>
      <c r="C13" s="169"/>
      <c r="D13" s="169"/>
      <c r="E13" s="169"/>
      <c r="F13" s="169"/>
      <c r="G13" s="169"/>
      <c r="H13" s="169"/>
      <c r="I13" s="65">
        <f>'Stavební rozpočet'!I13</f>
        <v>0</v>
      </c>
      <c r="J13" s="65">
        <f>'Stavební rozpočet'!J13</f>
        <v>0</v>
      </c>
      <c r="K13" s="65">
        <f>'Stavební rozpočet'!K13</f>
        <v>0</v>
      </c>
      <c r="L13" s="70">
        <f>'Stavební rozpočet'!L13</f>
        <v>302.94079999999997</v>
      </c>
      <c r="M13" s="11" t="s">
        <v>135</v>
      </c>
      <c r="N13" s="11">
        <f t="shared" si="0"/>
        <v>0</v>
      </c>
      <c r="O13" s="2" t="s">
        <v>76</v>
      </c>
      <c r="P13" s="11">
        <f t="shared" si="1"/>
        <v>0</v>
      </c>
    </row>
    <row r="14" spans="1:16" x14ac:dyDescent="0.2">
      <c r="A14" s="69" t="s">
        <v>85</v>
      </c>
      <c r="B14" s="188" t="s">
        <v>111</v>
      </c>
      <c r="C14" s="169"/>
      <c r="D14" s="169"/>
      <c r="E14" s="169"/>
      <c r="F14" s="169"/>
      <c r="G14" s="169"/>
      <c r="H14" s="169"/>
      <c r="I14" s="65">
        <f>'Stavební rozpočet'!I28</f>
        <v>0</v>
      </c>
      <c r="J14" s="65">
        <f>'Stavební rozpočet'!J28</f>
        <v>0</v>
      </c>
      <c r="K14" s="65">
        <f>'Stavební rozpočet'!K28</f>
        <v>0</v>
      </c>
      <c r="L14" s="70">
        <f>'Stavební rozpočet'!L28</f>
        <v>4184.17</v>
      </c>
      <c r="M14" s="11" t="s">
        <v>135</v>
      </c>
      <c r="N14" s="11">
        <f t="shared" si="0"/>
        <v>0</v>
      </c>
      <c r="O14" s="2" t="s">
        <v>76</v>
      </c>
      <c r="P14" s="11">
        <f t="shared" si="1"/>
        <v>0</v>
      </c>
    </row>
    <row r="15" spans="1:16" x14ac:dyDescent="0.2">
      <c r="A15" s="69" t="s">
        <v>86</v>
      </c>
      <c r="B15" s="188" t="s">
        <v>112</v>
      </c>
      <c r="C15" s="169"/>
      <c r="D15" s="169"/>
      <c r="E15" s="169"/>
      <c r="F15" s="169"/>
      <c r="G15" s="169"/>
      <c r="H15" s="169"/>
      <c r="I15" s="65">
        <f>'Stavební rozpočet'!I55</f>
        <v>0</v>
      </c>
      <c r="J15" s="65">
        <f>'Stavební rozpočet'!J55</f>
        <v>0</v>
      </c>
      <c r="K15" s="65">
        <f>'Stavební rozpočet'!K55</f>
        <v>0</v>
      </c>
      <c r="L15" s="70">
        <f>'Stavební rozpočet'!L55</f>
        <v>16060.355000000001</v>
      </c>
      <c r="M15" s="11" t="s">
        <v>135</v>
      </c>
      <c r="N15" s="11">
        <f t="shared" si="0"/>
        <v>0</v>
      </c>
      <c r="O15" s="2" t="s">
        <v>76</v>
      </c>
      <c r="P15" s="11">
        <f t="shared" si="1"/>
        <v>0</v>
      </c>
    </row>
    <row r="16" spans="1:16" x14ac:dyDescent="0.2">
      <c r="A16" s="69" t="s">
        <v>87</v>
      </c>
      <c r="B16" s="188" t="s">
        <v>113</v>
      </c>
      <c r="C16" s="169"/>
      <c r="D16" s="169"/>
      <c r="E16" s="169"/>
      <c r="F16" s="169"/>
      <c r="G16" s="169"/>
      <c r="H16" s="169"/>
      <c r="I16" s="65">
        <f>'Stavební rozpočet'!I90</f>
        <v>0</v>
      </c>
      <c r="J16" s="65">
        <f>'Stavební rozpočet'!J90</f>
        <v>0</v>
      </c>
      <c r="K16" s="65">
        <f>'Stavební rozpočet'!K90</f>
        <v>0</v>
      </c>
      <c r="L16" s="70">
        <f>'Stavební rozpočet'!L90</f>
        <v>6.8068000000000008</v>
      </c>
      <c r="M16" s="11" t="s">
        <v>135</v>
      </c>
      <c r="N16" s="11">
        <f t="shared" si="0"/>
        <v>0</v>
      </c>
      <c r="O16" s="2" t="s">
        <v>76</v>
      </c>
      <c r="P16" s="11">
        <f t="shared" si="1"/>
        <v>0</v>
      </c>
    </row>
    <row r="17" spans="1:16" x14ac:dyDescent="0.2">
      <c r="A17" s="69" t="s">
        <v>88</v>
      </c>
      <c r="B17" s="188" t="s">
        <v>114</v>
      </c>
      <c r="C17" s="169"/>
      <c r="D17" s="169"/>
      <c r="E17" s="169"/>
      <c r="F17" s="169"/>
      <c r="G17" s="169"/>
      <c r="H17" s="169"/>
      <c r="I17" s="65">
        <f>'Stavební rozpočet'!I93</f>
        <v>0</v>
      </c>
      <c r="J17" s="65">
        <f>'Stavební rozpočet'!J93</f>
        <v>0</v>
      </c>
      <c r="K17" s="65">
        <f>'Stavební rozpočet'!K93</f>
        <v>0</v>
      </c>
      <c r="L17" s="70">
        <f>'Stavební rozpočet'!L93</f>
        <v>285</v>
      </c>
      <c r="M17" s="11" t="s">
        <v>135</v>
      </c>
      <c r="N17" s="11">
        <f t="shared" si="0"/>
        <v>0</v>
      </c>
      <c r="O17" s="2" t="s">
        <v>76</v>
      </c>
      <c r="P17" s="11">
        <f t="shared" si="1"/>
        <v>0</v>
      </c>
    </row>
    <row r="18" spans="1:16" x14ac:dyDescent="0.2">
      <c r="A18" s="69" t="s">
        <v>89</v>
      </c>
      <c r="B18" s="188" t="s">
        <v>115</v>
      </c>
      <c r="C18" s="169"/>
      <c r="D18" s="169"/>
      <c r="E18" s="169"/>
      <c r="F18" s="169"/>
      <c r="G18" s="169"/>
      <c r="H18" s="169"/>
      <c r="I18" s="65">
        <f>'Stavební rozpočet'!I100</f>
        <v>0</v>
      </c>
      <c r="J18" s="65">
        <f>'Stavební rozpočet'!J100</f>
        <v>0</v>
      </c>
      <c r="K18" s="65">
        <f>'Stavební rozpočet'!K100</f>
        <v>0</v>
      </c>
      <c r="L18" s="70">
        <f>'Stavební rozpočet'!L100</f>
        <v>203</v>
      </c>
      <c r="M18" s="11" t="s">
        <v>135</v>
      </c>
      <c r="N18" s="11">
        <f t="shared" si="0"/>
        <v>0</v>
      </c>
      <c r="O18" s="2" t="s">
        <v>76</v>
      </c>
      <c r="P18" s="11">
        <f t="shared" si="1"/>
        <v>0</v>
      </c>
    </row>
    <row r="19" spans="1:16" x14ac:dyDescent="0.2">
      <c r="A19" s="69" t="s">
        <v>90</v>
      </c>
      <c r="B19" s="188" t="s">
        <v>116</v>
      </c>
      <c r="C19" s="169"/>
      <c r="D19" s="169"/>
      <c r="E19" s="169"/>
      <c r="F19" s="169"/>
      <c r="G19" s="169"/>
      <c r="H19" s="169"/>
      <c r="I19" s="65">
        <f>'Stavební rozpočet'!I103</f>
        <v>0</v>
      </c>
      <c r="J19" s="65">
        <f>'Stavební rozpočet'!J103</f>
        <v>0</v>
      </c>
      <c r="K19" s="65">
        <f>'Stavební rozpočet'!K103</f>
        <v>0</v>
      </c>
      <c r="L19" s="70">
        <f>'Stavební rozpočet'!L103</f>
        <v>11176.7</v>
      </c>
      <c r="M19" s="11" t="s">
        <v>135</v>
      </c>
      <c r="N19" s="11">
        <f t="shared" si="0"/>
        <v>0</v>
      </c>
      <c r="O19" s="2" t="s">
        <v>76</v>
      </c>
      <c r="P19" s="11">
        <f t="shared" si="1"/>
        <v>0</v>
      </c>
    </row>
    <row r="20" spans="1:16" x14ac:dyDescent="0.2">
      <c r="A20" s="69" t="s">
        <v>91</v>
      </c>
      <c r="B20" s="188" t="s">
        <v>117</v>
      </c>
      <c r="C20" s="169"/>
      <c r="D20" s="169"/>
      <c r="E20" s="169"/>
      <c r="F20" s="169"/>
      <c r="G20" s="169"/>
      <c r="H20" s="169"/>
      <c r="I20" s="65">
        <f>'Stavební rozpočet'!I122</f>
        <v>0</v>
      </c>
      <c r="J20" s="65">
        <f>'Stavební rozpočet'!J122</f>
        <v>0</v>
      </c>
      <c r="K20" s="65">
        <f>'Stavební rozpočet'!K122</f>
        <v>0</v>
      </c>
      <c r="L20" s="70">
        <f>'Stavební rozpočet'!L122</f>
        <v>104292.83658</v>
      </c>
      <c r="M20" s="11" t="s">
        <v>135</v>
      </c>
      <c r="N20" s="11">
        <f t="shared" si="0"/>
        <v>0</v>
      </c>
      <c r="O20" s="2" t="s">
        <v>76</v>
      </c>
      <c r="P20" s="11">
        <f t="shared" si="1"/>
        <v>0</v>
      </c>
    </row>
    <row r="21" spans="1:16" x14ac:dyDescent="0.2">
      <c r="A21" s="69" t="s">
        <v>92</v>
      </c>
      <c r="B21" s="188" t="s">
        <v>118</v>
      </c>
      <c r="C21" s="169"/>
      <c r="D21" s="169"/>
      <c r="E21" s="169"/>
      <c r="F21" s="169"/>
      <c r="G21" s="169"/>
      <c r="H21" s="169"/>
      <c r="I21" s="65">
        <f>'Stavební rozpočet'!I155</f>
        <v>0</v>
      </c>
      <c r="J21" s="65">
        <f>'Stavební rozpočet'!J155</f>
        <v>0</v>
      </c>
      <c r="K21" s="65">
        <f>'Stavební rozpočet'!K155</f>
        <v>0</v>
      </c>
      <c r="L21" s="70">
        <f>'Stavební rozpočet'!L155</f>
        <v>296126.4644</v>
      </c>
      <c r="M21" s="11" t="s">
        <v>135</v>
      </c>
      <c r="N21" s="11">
        <f t="shared" si="0"/>
        <v>0</v>
      </c>
      <c r="O21" s="2" t="s">
        <v>76</v>
      </c>
      <c r="P21" s="11">
        <f t="shared" si="1"/>
        <v>0</v>
      </c>
    </row>
    <row r="22" spans="1:16" x14ac:dyDescent="0.2">
      <c r="A22" s="69" t="s">
        <v>93</v>
      </c>
      <c r="B22" s="188" t="s">
        <v>119</v>
      </c>
      <c r="C22" s="169"/>
      <c r="D22" s="169"/>
      <c r="E22" s="169"/>
      <c r="F22" s="169"/>
      <c r="G22" s="169"/>
      <c r="H22" s="169"/>
      <c r="I22" s="65">
        <f>'Stavební rozpočet'!I183</f>
        <v>0</v>
      </c>
      <c r="J22" s="65">
        <f>'Stavební rozpočet'!J183</f>
        <v>0</v>
      </c>
      <c r="K22" s="65">
        <f>'Stavební rozpočet'!K183</f>
        <v>0</v>
      </c>
      <c r="L22" s="70">
        <f>'Stavební rozpočet'!L183</f>
        <v>4514</v>
      </c>
      <c r="M22" s="11" t="s">
        <v>135</v>
      </c>
      <c r="N22" s="11">
        <f t="shared" si="0"/>
        <v>0</v>
      </c>
      <c r="O22" s="2" t="s">
        <v>76</v>
      </c>
      <c r="P22" s="11">
        <f t="shared" si="1"/>
        <v>0</v>
      </c>
    </row>
    <row r="23" spans="1:16" x14ac:dyDescent="0.2">
      <c r="A23" s="69" t="s">
        <v>94</v>
      </c>
      <c r="B23" s="188" t="s">
        <v>120</v>
      </c>
      <c r="C23" s="169"/>
      <c r="D23" s="169"/>
      <c r="E23" s="169"/>
      <c r="F23" s="169"/>
      <c r="G23" s="169"/>
      <c r="H23" s="169"/>
      <c r="I23" s="65">
        <f>'Stavební rozpočet'!I187</f>
        <v>0</v>
      </c>
      <c r="J23" s="65">
        <f>'Stavební rozpočet'!J187</f>
        <v>0</v>
      </c>
      <c r="K23" s="65">
        <f>'Stavební rozpočet'!K187</f>
        <v>0</v>
      </c>
      <c r="L23" s="70">
        <f>'Stavební rozpočet'!L187</f>
        <v>111388.152</v>
      </c>
      <c r="M23" s="11" t="s">
        <v>135</v>
      </c>
      <c r="N23" s="11">
        <f t="shared" si="0"/>
        <v>0</v>
      </c>
      <c r="O23" s="2" t="s">
        <v>76</v>
      </c>
      <c r="P23" s="11">
        <f t="shared" si="1"/>
        <v>0</v>
      </c>
    </row>
    <row r="24" spans="1:16" x14ac:dyDescent="0.2">
      <c r="A24" s="69" t="s">
        <v>95</v>
      </c>
      <c r="B24" s="188" t="s">
        <v>121</v>
      </c>
      <c r="C24" s="169"/>
      <c r="D24" s="169"/>
      <c r="E24" s="169"/>
      <c r="F24" s="169"/>
      <c r="G24" s="169"/>
      <c r="H24" s="169"/>
      <c r="I24" s="65">
        <f>'Stavební rozpočet'!I204</f>
        <v>0</v>
      </c>
      <c r="J24" s="65">
        <f>'Stavební rozpočet'!J204</f>
        <v>0</v>
      </c>
      <c r="K24" s="65">
        <f>'Stavební rozpočet'!K204</f>
        <v>0</v>
      </c>
      <c r="L24" s="70">
        <f>'Stavební rozpočet'!L204</f>
        <v>26496.25</v>
      </c>
      <c r="M24" s="11" t="s">
        <v>135</v>
      </c>
      <c r="N24" s="11">
        <f t="shared" si="0"/>
        <v>0</v>
      </c>
      <c r="O24" s="2" t="s">
        <v>76</v>
      </c>
      <c r="P24" s="11">
        <f t="shared" si="1"/>
        <v>0</v>
      </c>
    </row>
    <row r="25" spans="1:16" x14ac:dyDescent="0.2">
      <c r="A25" s="69" t="s">
        <v>96</v>
      </c>
      <c r="B25" s="188" t="s">
        <v>122</v>
      </c>
      <c r="C25" s="169"/>
      <c r="D25" s="169"/>
      <c r="E25" s="169"/>
      <c r="F25" s="169"/>
      <c r="G25" s="169"/>
      <c r="H25" s="169"/>
      <c r="I25" s="65">
        <f>'Stavební rozpočet'!I208</f>
        <v>0</v>
      </c>
      <c r="J25" s="65">
        <f>'Stavební rozpočet'!J208</f>
        <v>0</v>
      </c>
      <c r="K25" s="65">
        <f>'Stavební rozpočet'!K208</f>
        <v>0</v>
      </c>
      <c r="L25" s="70">
        <f>'Stavební rozpočet'!L208</f>
        <v>17202.0442</v>
      </c>
      <c r="M25" s="11" t="s">
        <v>135</v>
      </c>
      <c r="N25" s="11">
        <f t="shared" si="0"/>
        <v>0</v>
      </c>
      <c r="O25" s="2" t="s">
        <v>76</v>
      </c>
      <c r="P25" s="11">
        <f t="shared" si="1"/>
        <v>0</v>
      </c>
    </row>
    <row r="26" spans="1:16" x14ac:dyDescent="0.2">
      <c r="A26" s="69" t="s">
        <v>97</v>
      </c>
      <c r="B26" s="188" t="s">
        <v>123</v>
      </c>
      <c r="C26" s="169"/>
      <c r="D26" s="169"/>
      <c r="E26" s="169"/>
      <c r="F26" s="169"/>
      <c r="G26" s="169"/>
      <c r="H26" s="169"/>
      <c r="I26" s="65">
        <f>'Stavební rozpočet'!I235</f>
        <v>0</v>
      </c>
      <c r="J26" s="65">
        <f>'Stavební rozpočet'!J235</f>
        <v>0</v>
      </c>
      <c r="K26" s="65">
        <f>'Stavební rozpočet'!K235</f>
        <v>0</v>
      </c>
      <c r="L26" s="70">
        <f>'Stavební rozpočet'!L235</f>
        <v>13827.248</v>
      </c>
      <c r="M26" s="11" t="s">
        <v>135</v>
      </c>
      <c r="N26" s="11">
        <f t="shared" si="0"/>
        <v>0</v>
      </c>
      <c r="O26" s="2" t="s">
        <v>76</v>
      </c>
      <c r="P26" s="11">
        <f t="shared" si="1"/>
        <v>0</v>
      </c>
    </row>
    <row r="27" spans="1:16" x14ac:dyDescent="0.2">
      <c r="A27" s="69" t="s">
        <v>98</v>
      </c>
      <c r="B27" s="188" t="s">
        <v>124</v>
      </c>
      <c r="C27" s="169"/>
      <c r="D27" s="169"/>
      <c r="E27" s="169"/>
      <c r="F27" s="169"/>
      <c r="G27" s="169"/>
      <c r="H27" s="169"/>
      <c r="I27" s="65">
        <f>'Stavební rozpočet'!I252</f>
        <v>0</v>
      </c>
      <c r="J27" s="65">
        <f>'Stavební rozpočet'!J252</f>
        <v>0</v>
      </c>
      <c r="K27" s="65">
        <f>'Stavební rozpočet'!K252</f>
        <v>0</v>
      </c>
      <c r="L27" s="70">
        <f>'Stavební rozpočet'!L252</f>
        <v>66972.248500000002</v>
      </c>
      <c r="M27" s="11" t="s">
        <v>135</v>
      </c>
      <c r="N27" s="11">
        <f t="shared" si="0"/>
        <v>0</v>
      </c>
      <c r="O27" s="2" t="s">
        <v>76</v>
      </c>
      <c r="P27" s="11">
        <f t="shared" si="1"/>
        <v>0</v>
      </c>
    </row>
    <row r="28" spans="1:16" x14ac:dyDescent="0.2">
      <c r="A28" s="69" t="s">
        <v>99</v>
      </c>
      <c r="B28" s="188" t="s">
        <v>125</v>
      </c>
      <c r="C28" s="169"/>
      <c r="D28" s="169"/>
      <c r="E28" s="169"/>
      <c r="F28" s="169"/>
      <c r="G28" s="169"/>
      <c r="H28" s="169"/>
      <c r="I28" s="65">
        <f>'Stavební rozpočet'!I272</f>
        <v>0</v>
      </c>
      <c r="J28" s="65">
        <f>'Stavební rozpočet'!J272</f>
        <v>0</v>
      </c>
      <c r="K28" s="65">
        <f>'Stavební rozpočet'!K272</f>
        <v>0</v>
      </c>
      <c r="L28" s="70">
        <f>'Stavební rozpočet'!L272</f>
        <v>273</v>
      </c>
      <c r="M28" s="11" t="s">
        <v>135</v>
      </c>
      <c r="N28" s="11">
        <f t="shared" si="0"/>
        <v>0</v>
      </c>
      <c r="O28" s="2" t="s">
        <v>76</v>
      </c>
      <c r="P28" s="11">
        <f t="shared" si="1"/>
        <v>0</v>
      </c>
    </row>
    <row r="29" spans="1:16" x14ac:dyDescent="0.2">
      <c r="A29" s="69"/>
      <c r="B29" s="188" t="s">
        <v>63</v>
      </c>
      <c r="C29" s="169"/>
      <c r="D29" s="169"/>
      <c r="E29" s="169"/>
      <c r="F29" s="169"/>
      <c r="G29" s="169"/>
      <c r="H29" s="169"/>
      <c r="I29" s="65">
        <f>'Stavební rozpočet'!I274</f>
        <v>0</v>
      </c>
      <c r="J29" s="65">
        <f>'Stavební rozpočet'!J274</f>
        <v>0</v>
      </c>
      <c r="K29" s="65">
        <f>'Stavební rozpočet'!K274</f>
        <v>0</v>
      </c>
      <c r="L29" s="70">
        <f>'Stavební rozpočet'!L274</f>
        <v>1285426.13616</v>
      </c>
      <c r="M29" s="11" t="s">
        <v>75</v>
      </c>
      <c r="N29" s="11">
        <f t="shared" si="0"/>
        <v>0</v>
      </c>
      <c r="O29" s="2" t="s">
        <v>77</v>
      </c>
      <c r="P29" s="11">
        <f t="shared" si="1"/>
        <v>0</v>
      </c>
    </row>
    <row r="30" spans="1:16" x14ac:dyDescent="0.2">
      <c r="A30" s="69" t="s">
        <v>84</v>
      </c>
      <c r="B30" s="188" t="s">
        <v>110</v>
      </c>
      <c r="C30" s="169"/>
      <c r="D30" s="169"/>
      <c r="E30" s="169"/>
      <c r="F30" s="169"/>
      <c r="G30" s="169"/>
      <c r="H30" s="169"/>
      <c r="I30" s="65">
        <f>'Stavební rozpočet'!I275</f>
        <v>0</v>
      </c>
      <c r="J30" s="65">
        <f>'Stavební rozpočet'!J275</f>
        <v>0</v>
      </c>
      <c r="K30" s="65">
        <f>'Stavební rozpočet'!K275</f>
        <v>0</v>
      </c>
      <c r="L30" s="70">
        <f>'Stavební rozpočet'!L275</f>
        <v>1441.8804700000001</v>
      </c>
      <c r="M30" s="11" t="s">
        <v>135</v>
      </c>
      <c r="N30" s="11">
        <f t="shared" si="0"/>
        <v>0</v>
      </c>
      <c r="O30" s="2" t="s">
        <v>77</v>
      </c>
      <c r="P30" s="11">
        <f t="shared" si="1"/>
        <v>0</v>
      </c>
    </row>
    <row r="31" spans="1:16" x14ac:dyDescent="0.2">
      <c r="A31" s="69" t="s">
        <v>86</v>
      </c>
      <c r="B31" s="188" t="s">
        <v>112</v>
      </c>
      <c r="C31" s="169"/>
      <c r="D31" s="169"/>
      <c r="E31" s="169"/>
      <c r="F31" s="169"/>
      <c r="G31" s="169"/>
      <c r="H31" s="169"/>
      <c r="I31" s="65">
        <f>'Stavební rozpočet'!I286</f>
        <v>0</v>
      </c>
      <c r="J31" s="65">
        <f>'Stavební rozpočet'!J286</f>
        <v>0</v>
      </c>
      <c r="K31" s="65">
        <f>'Stavební rozpočet'!K286</f>
        <v>0</v>
      </c>
      <c r="L31" s="70">
        <f>'Stavební rozpočet'!L286</f>
        <v>69804.054000000004</v>
      </c>
      <c r="M31" s="11" t="s">
        <v>135</v>
      </c>
      <c r="N31" s="11">
        <f t="shared" si="0"/>
        <v>0</v>
      </c>
      <c r="O31" s="2" t="s">
        <v>77</v>
      </c>
      <c r="P31" s="11">
        <f t="shared" si="1"/>
        <v>0</v>
      </c>
    </row>
    <row r="32" spans="1:16" x14ac:dyDescent="0.2">
      <c r="A32" s="69" t="s">
        <v>87</v>
      </c>
      <c r="B32" s="188" t="s">
        <v>113</v>
      </c>
      <c r="C32" s="169"/>
      <c r="D32" s="169"/>
      <c r="E32" s="169"/>
      <c r="F32" s="169"/>
      <c r="G32" s="169"/>
      <c r="H32" s="169"/>
      <c r="I32" s="65">
        <f>'Stavební rozpočet'!I314</f>
        <v>0</v>
      </c>
      <c r="J32" s="65">
        <f>'Stavební rozpočet'!J314</f>
        <v>0</v>
      </c>
      <c r="K32" s="65">
        <f>'Stavební rozpočet'!K314</f>
        <v>0</v>
      </c>
      <c r="L32" s="70">
        <f>'Stavební rozpočet'!L314</f>
        <v>16.38</v>
      </c>
      <c r="M32" s="11" t="s">
        <v>135</v>
      </c>
      <c r="N32" s="11">
        <f t="shared" si="0"/>
        <v>0</v>
      </c>
      <c r="O32" s="2" t="s">
        <v>77</v>
      </c>
      <c r="P32" s="11">
        <f t="shared" si="1"/>
        <v>0</v>
      </c>
    </row>
    <row r="33" spans="1:16" x14ac:dyDescent="0.2">
      <c r="A33" s="69" t="s">
        <v>90</v>
      </c>
      <c r="B33" s="188" t="s">
        <v>116</v>
      </c>
      <c r="C33" s="169"/>
      <c r="D33" s="169"/>
      <c r="E33" s="169"/>
      <c r="F33" s="169"/>
      <c r="G33" s="169"/>
      <c r="H33" s="169"/>
      <c r="I33" s="65">
        <f>'Stavební rozpočet'!I317</f>
        <v>0</v>
      </c>
      <c r="J33" s="65">
        <f>'Stavební rozpočet'!J317</f>
        <v>0</v>
      </c>
      <c r="K33" s="65">
        <f>'Stavební rozpočet'!K317</f>
        <v>0</v>
      </c>
      <c r="L33" s="70">
        <f>'Stavební rozpočet'!L317</f>
        <v>30045.425000000003</v>
      </c>
      <c r="M33" s="11" t="s">
        <v>135</v>
      </c>
      <c r="N33" s="11">
        <f t="shared" si="0"/>
        <v>0</v>
      </c>
      <c r="O33" s="2" t="s">
        <v>77</v>
      </c>
      <c r="P33" s="11">
        <f t="shared" si="1"/>
        <v>0</v>
      </c>
    </row>
    <row r="34" spans="1:16" x14ac:dyDescent="0.2">
      <c r="A34" s="69" t="s">
        <v>91</v>
      </c>
      <c r="B34" s="188" t="s">
        <v>117</v>
      </c>
      <c r="C34" s="169"/>
      <c r="D34" s="169"/>
      <c r="E34" s="169"/>
      <c r="F34" s="169"/>
      <c r="G34" s="169"/>
      <c r="H34" s="169"/>
      <c r="I34" s="65">
        <f>'Stavební rozpočet'!I339</f>
        <v>0</v>
      </c>
      <c r="J34" s="65">
        <f>'Stavební rozpočet'!J339</f>
        <v>0</v>
      </c>
      <c r="K34" s="65">
        <f>'Stavební rozpočet'!K339</f>
        <v>0</v>
      </c>
      <c r="L34" s="70">
        <f>'Stavební rozpočet'!L339</f>
        <v>32239.278419999999</v>
      </c>
      <c r="M34" s="11" t="s">
        <v>135</v>
      </c>
      <c r="N34" s="11">
        <f t="shared" si="0"/>
        <v>0</v>
      </c>
      <c r="O34" s="2" t="s">
        <v>77</v>
      </c>
      <c r="P34" s="11">
        <f t="shared" si="1"/>
        <v>0</v>
      </c>
    </row>
    <row r="35" spans="1:16" x14ac:dyDescent="0.2">
      <c r="A35" s="69" t="s">
        <v>92</v>
      </c>
      <c r="B35" s="188" t="s">
        <v>118</v>
      </c>
      <c r="C35" s="169"/>
      <c r="D35" s="169"/>
      <c r="E35" s="169"/>
      <c r="F35" s="169"/>
      <c r="G35" s="169"/>
      <c r="H35" s="169"/>
      <c r="I35" s="65">
        <f>'Stavební rozpočet'!I364</f>
        <v>0</v>
      </c>
      <c r="J35" s="65">
        <f>'Stavební rozpočet'!J364</f>
        <v>0</v>
      </c>
      <c r="K35" s="65">
        <f>'Stavební rozpočet'!K364</f>
        <v>0</v>
      </c>
      <c r="L35" s="70">
        <f>'Stavební rozpočet'!L364</f>
        <v>770351.52946999995</v>
      </c>
      <c r="M35" s="11" t="s">
        <v>135</v>
      </c>
      <c r="N35" s="11">
        <f t="shared" si="0"/>
        <v>0</v>
      </c>
      <c r="O35" s="2" t="s">
        <v>77</v>
      </c>
      <c r="P35" s="11">
        <f t="shared" si="1"/>
        <v>0</v>
      </c>
    </row>
    <row r="36" spans="1:16" x14ac:dyDescent="0.2">
      <c r="A36" s="69" t="s">
        <v>93</v>
      </c>
      <c r="B36" s="188" t="s">
        <v>119</v>
      </c>
      <c r="C36" s="169"/>
      <c r="D36" s="169"/>
      <c r="E36" s="169"/>
      <c r="F36" s="169"/>
      <c r="G36" s="169"/>
      <c r="H36" s="169"/>
      <c r="I36" s="65">
        <f>'Stavební rozpočet'!I396</f>
        <v>0</v>
      </c>
      <c r="J36" s="65">
        <f>'Stavební rozpočet'!J396</f>
        <v>0</v>
      </c>
      <c r="K36" s="65">
        <f>'Stavební rozpočet'!K396</f>
        <v>0</v>
      </c>
      <c r="L36" s="70">
        <f>'Stavební rozpočet'!L396</f>
        <v>6527.1999999999989</v>
      </c>
      <c r="M36" s="11" t="s">
        <v>135</v>
      </c>
      <c r="N36" s="11">
        <f t="shared" si="0"/>
        <v>0</v>
      </c>
      <c r="O36" s="2" t="s">
        <v>77</v>
      </c>
      <c r="P36" s="11">
        <f t="shared" si="1"/>
        <v>0</v>
      </c>
    </row>
    <row r="37" spans="1:16" x14ac:dyDescent="0.2">
      <c r="A37" s="69" t="s">
        <v>94</v>
      </c>
      <c r="B37" s="188" t="s">
        <v>120</v>
      </c>
      <c r="C37" s="169"/>
      <c r="D37" s="169"/>
      <c r="E37" s="169"/>
      <c r="F37" s="169"/>
      <c r="G37" s="169"/>
      <c r="H37" s="169"/>
      <c r="I37" s="65">
        <f>'Stavební rozpočet'!I401</f>
        <v>0</v>
      </c>
      <c r="J37" s="65">
        <f>'Stavební rozpočet'!J401</f>
        <v>0</v>
      </c>
      <c r="K37" s="65">
        <f>'Stavební rozpočet'!K401</f>
        <v>0</v>
      </c>
      <c r="L37" s="70">
        <f>'Stavební rozpočet'!L401</f>
        <v>200753.03999999998</v>
      </c>
      <c r="M37" s="11" t="s">
        <v>135</v>
      </c>
      <c r="N37" s="11">
        <f t="shared" si="0"/>
        <v>0</v>
      </c>
      <c r="O37" s="2" t="s">
        <v>77</v>
      </c>
      <c r="P37" s="11">
        <f t="shared" si="1"/>
        <v>0</v>
      </c>
    </row>
    <row r="38" spans="1:16" x14ac:dyDescent="0.2">
      <c r="A38" s="69" t="s">
        <v>95</v>
      </c>
      <c r="B38" s="188" t="s">
        <v>121</v>
      </c>
      <c r="C38" s="169"/>
      <c r="D38" s="169"/>
      <c r="E38" s="169"/>
      <c r="F38" s="169"/>
      <c r="G38" s="169"/>
      <c r="H38" s="169"/>
      <c r="I38" s="65">
        <f>'Stavební rozpočet'!I414</f>
        <v>0</v>
      </c>
      <c r="J38" s="65">
        <f>'Stavební rozpočet'!J414</f>
        <v>0</v>
      </c>
      <c r="K38" s="65">
        <f>'Stavební rozpočet'!K414</f>
        <v>0</v>
      </c>
      <c r="L38" s="70">
        <f>'Stavební rozpočet'!L414</f>
        <v>53597.25</v>
      </c>
      <c r="M38" s="11" t="s">
        <v>135</v>
      </c>
      <c r="N38" s="11">
        <f t="shared" si="0"/>
        <v>0</v>
      </c>
      <c r="O38" s="2" t="s">
        <v>77</v>
      </c>
      <c r="P38" s="11">
        <f t="shared" si="1"/>
        <v>0</v>
      </c>
    </row>
    <row r="39" spans="1:16" x14ac:dyDescent="0.2">
      <c r="A39" s="69" t="s">
        <v>96</v>
      </c>
      <c r="B39" s="188" t="s">
        <v>122</v>
      </c>
      <c r="C39" s="169"/>
      <c r="D39" s="169"/>
      <c r="E39" s="169"/>
      <c r="F39" s="169"/>
      <c r="G39" s="169"/>
      <c r="H39" s="169"/>
      <c r="I39" s="65">
        <f>'Stavební rozpočet'!I418</f>
        <v>0</v>
      </c>
      <c r="J39" s="65">
        <f>'Stavební rozpočet'!J418</f>
        <v>0</v>
      </c>
      <c r="K39" s="65">
        <f>'Stavební rozpočet'!K418</f>
        <v>0</v>
      </c>
      <c r="L39" s="70">
        <f>'Stavební rozpočet'!L418</f>
        <v>18694.554</v>
      </c>
      <c r="M39" s="11" t="s">
        <v>135</v>
      </c>
      <c r="N39" s="11">
        <f t="shared" si="0"/>
        <v>0</v>
      </c>
      <c r="O39" s="2" t="s">
        <v>77</v>
      </c>
      <c r="P39" s="11">
        <f t="shared" si="1"/>
        <v>0</v>
      </c>
    </row>
    <row r="40" spans="1:16" x14ac:dyDescent="0.2">
      <c r="A40" s="69" t="s">
        <v>97</v>
      </c>
      <c r="B40" s="188" t="s">
        <v>123</v>
      </c>
      <c r="C40" s="169"/>
      <c r="D40" s="169"/>
      <c r="E40" s="169"/>
      <c r="F40" s="169"/>
      <c r="G40" s="169"/>
      <c r="H40" s="169"/>
      <c r="I40" s="65">
        <f>'Stavební rozpočet'!I435</f>
        <v>0</v>
      </c>
      <c r="J40" s="65">
        <f>'Stavební rozpočet'!J435</f>
        <v>0</v>
      </c>
      <c r="K40" s="65">
        <f>'Stavební rozpočet'!K435</f>
        <v>0</v>
      </c>
      <c r="L40" s="70">
        <f>'Stavební rozpočet'!L435</f>
        <v>10402.5605</v>
      </c>
      <c r="M40" s="11" t="s">
        <v>135</v>
      </c>
      <c r="N40" s="11">
        <f t="shared" si="0"/>
        <v>0</v>
      </c>
      <c r="O40" s="2" t="s">
        <v>77</v>
      </c>
      <c r="P40" s="11">
        <f t="shared" si="1"/>
        <v>0</v>
      </c>
    </row>
    <row r="41" spans="1:16" x14ac:dyDescent="0.2">
      <c r="A41" s="69" t="s">
        <v>100</v>
      </c>
      <c r="B41" s="188" t="s">
        <v>118</v>
      </c>
      <c r="C41" s="169"/>
      <c r="D41" s="169"/>
      <c r="E41" s="169"/>
      <c r="F41" s="169"/>
      <c r="G41" s="169"/>
      <c r="H41" s="169"/>
      <c r="I41" s="65">
        <f>'Stavební rozpočet'!I447</f>
        <v>0</v>
      </c>
      <c r="J41" s="65">
        <f>'Stavební rozpočet'!J447</f>
        <v>0</v>
      </c>
      <c r="K41" s="65">
        <f>'Stavební rozpočet'!K447</f>
        <v>0</v>
      </c>
      <c r="L41" s="70">
        <f>'Stavební rozpočet'!L447</f>
        <v>586.83519999999999</v>
      </c>
      <c r="M41" s="11" t="s">
        <v>135</v>
      </c>
      <c r="N41" s="11">
        <f t="shared" si="0"/>
        <v>0</v>
      </c>
      <c r="O41" s="2" t="s">
        <v>77</v>
      </c>
      <c r="P41" s="11">
        <f t="shared" si="1"/>
        <v>0</v>
      </c>
    </row>
    <row r="42" spans="1:16" x14ac:dyDescent="0.2">
      <c r="A42" s="69" t="s">
        <v>98</v>
      </c>
      <c r="B42" s="188" t="s">
        <v>124</v>
      </c>
      <c r="C42" s="169"/>
      <c r="D42" s="169"/>
      <c r="E42" s="169"/>
      <c r="F42" s="169"/>
      <c r="G42" s="169"/>
      <c r="H42" s="169"/>
      <c r="I42" s="65">
        <f>'Stavební rozpočet'!I450</f>
        <v>0</v>
      </c>
      <c r="J42" s="65">
        <f>'Stavební rozpočet'!J450</f>
        <v>0</v>
      </c>
      <c r="K42" s="65">
        <f>'Stavební rozpočet'!K450</f>
        <v>0</v>
      </c>
      <c r="L42" s="70">
        <f>'Stavební rozpočet'!L450</f>
        <v>90495.149099999981</v>
      </c>
      <c r="M42" s="11" t="s">
        <v>135</v>
      </c>
      <c r="N42" s="11">
        <f t="shared" si="0"/>
        <v>0</v>
      </c>
      <c r="O42" s="2" t="s">
        <v>77</v>
      </c>
      <c r="P42" s="11">
        <f t="shared" si="1"/>
        <v>0</v>
      </c>
    </row>
    <row r="43" spans="1:16" x14ac:dyDescent="0.2">
      <c r="A43" s="69" t="s">
        <v>99</v>
      </c>
      <c r="B43" s="188" t="s">
        <v>125</v>
      </c>
      <c r="C43" s="169"/>
      <c r="D43" s="169"/>
      <c r="E43" s="169"/>
      <c r="F43" s="169"/>
      <c r="G43" s="169"/>
      <c r="H43" s="169"/>
      <c r="I43" s="65">
        <f>'Stavební rozpočet'!I470</f>
        <v>0</v>
      </c>
      <c r="J43" s="65">
        <f>'Stavební rozpočet'!J470</f>
        <v>0</v>
      </c>
      <c r="K43" s="65">
        <f>'Stavební rozpočet'!K470</f>
        <v>0</v>
      </c>
      <c r="L43" s="70">
        <f>'Stavební rozpočet'!L470</f>
        <v>471</v>
      </c>
      <c r="M43" s="11" t="s">
        <v>135</v>
      </c>
      <c r="N43" s="11">
        <f t="shared" si="0"/>
        <v>0</v>
      </c>
      <c r="O43" s="2" t="s">
        <v>77</v>
      </c>
      <c r="P43" s="11">
        <f t="shared" si="1"/>
        <v>0</v>
      </c>
    </row>
    <row r="44" spans="1:16" x14ac:dyDescent="0.2">
      <c r="A44" s="69"/>
      <c r="B44" s="188" t="s">
        <v>64</v>
      </c>
      <c r="C44" s="169"/>
      <c r="D44" s="169"/>
      <c r="E44" s="169"/>
      <c r="F44" s="169"/>
      <c r="G44" s="169"/>
      <c r="H44" s="169"/>
      <c r="I44" s="65">
        <f>'Stavební rozpočet'!I472</f>
        <v>0</v>
      </c>
      <c r="J44" s="65">
        <f>'Stavební rozpočet'!J472</f>
        <v>0</v>
      </c>
      <c r="K44" s="65">
        <f>'Stavební rozpočet'!K472</f>
        <v>0</v>
      </c>
      <c r="L44" s="70">
        <f>'Stavební rozpočet'!L472</f>
        <v>369395.66547999997</v>
      </c>
      <c r="M44" s="11" t="s">
        <v>75</v>
      </c>
      <c r="N44" s="11">
        <f t="shared" ref="N44:N63" si="2">IF(M44="F",0,K44)</f>
        <v>0</v>
      </c>
      <c r="O44" s="2" t="s">
        <v>78</v>
      </c>
      <c r="P44" s="11">
        <f t="shared" ref="P44:P63" si="3">IF(M44="T",0,K44)</f>
        <v>0</v>
      </c>
    </row>
    <row r="45" spans="1:16" x14ac:dyDescent="0.2">
      <c r="A45" s="69" t="s">
        <v>86</v>
      </c>
      <c r="B45" s="188" t="s">
        <v>112</v>
      </c>
      <c r="C45" s="169"/>
      <c r="D45" s="169"/>
      <c r="E45" s="169"/>
      <c r="F45" s="169"/>
      <c r="G45" s="169"/>
      <c r="H45" s="169"/>
      <c r="I45" s="65">
        <f>'Stavební rozpočet'!I473</f>
        <v>0</v>
      </c>
      <c r="J45" s="65">
        <f>'Stavební rozpočet'!J473</f>
        <v>0</v>
      </c>
      <c r="K45" s="65">
        <f>'Stavební rozpočet'!K473</f>
        <v>0</v>
      </c>
      <c r="L45" s="70">
        <f>'Stavební rozpočet'!L473</f>
        <v>17020.865999999998</v>
      </c>
      <c r="M45" s="11" t="s">
        <v>135</v>
      </c>
      <c r="N45" s="11">
        <f t="shared" si="2"/>
        <v>0</v>
      </c>
      <c r="O45" s="2" t="s">
        <v>78</v>
      </c>
      <c r="P45" s="11">
        <f t="shared" si="3"/>
        <v>0</v>
      </c>
    </row>
    <row r="46" spans="1:16" x14ac:dyDescent="0.2">
      <c r="A46" s="69" t="s">
        <v>101</v>
      </c>
      <c r="B46" s="188" t="s">
        <v>126</v>
      </c>
      <c r="C46" s="169"/>
      <c r="D46" s="169"/>
      <c r="E46" s="169"/>
      <c r="F46" s="169"/>
      <c r="G46" s="169"/>
      <c r="H46" s="169"/>
      <c r="I46" s="65">
        <f>'Stavební rozpočet'!I481</f>
        <v>0</v>
      </c>
      <c r="J46" s="65">
        <f>'Stavební rozpočet'!J481</f>
        <v>0</v>
      </c>
      <c r="K46" s="65">
        <f>'Stavební rozpočet'!K481</f>
        <v>0</v>
      </c>
      <c r="L46" s="70">
        <f>'Stavební rozpočet'!L481</f>
        <v>16870</v>
      </c>
      <c r="M46" s="11" t="s">
        <v>135</v>
      </c>
      <c r="N46" s="11">
        <f t="shared" si="2"/>
        <v>0</v>
      </c>
      <c r="O46" s="2" t="s">
        <v>78</v>
      </c>
      <c r="P46" s="11">
        <f t="shared" si="3"/>
        <v>0</v>
      </c>
    </row>
    <row r="47" spans="1:16" x14ac:dyDescent="0.2">
      <c r="A47" s="69" t="s">
        <v>92</v>
      </c>
      <c r="B47" s="188" t="s">
        <v>118</v>
      </c>
      <c r="C47" s="169"/>
      <c r="D47" s="169"/>
      <c r="E47" s="169"/>
      <c r="F47" s="169"/>
      <c r="G47" s="169"/>
      <c r="H47" s="169"/>
      <c r="I47" s="65">
        <f>'Stavební rozpočet'!I485</f>
        <v>0</v>
      </c>
      <c r="J47" s="65">
        <f>'Stavební rozpočet'!J485</f>
        <v>0</v>
      </c>
      <c r="K47" s="65">
        <f>'Stavební rozpočet'!K485</f>
        <v>0</v>
      </c>
      <c r="L47" s="70">
        <f>'Stavební rozpočet'!L485</f>
        <v>264107.72327999998</v>
      </c>
      <c r="M47" s="11" t="s">
        <v>135</v>
      </c>
      <c r="N47" s="11">
        <f t="shared" si="2"/>
        <v>0</v>
      </c>
      <c r="O47" s="2" t="s">
        <v>78</v>
      </c>
      <c r="P47" s="11">
        <f t="shared" si="3"/>
        <v>0</v>
      </c>
    </row>
    <row r="48" spans="1:16" x14ac:dyDescent="0.2">
      <c r="A48" s="69" t="s">
        <v>94</v>
      </c>
      <c r="B48" s="188" t="s">
        <v>120</v>
      </c>
      <c r="C48" s="169"/>
      <c r="D48" s="169"/>
      <c r="E48" s="169"/>
      <c r="F48" s="169"/>
      <c r="G48" s="169"/>
      <c r="H48" s="169"/>
      <c r="I48" s="65">
        <f>'Stavební rozpočet'!I523</f>
        <v>0</v>
      </c>
      <c r="J48" s="65">
        <f>'Stavební rozpočet'!J523</f>
        <v>0</v>
      </c>
      <c r="K48" s="65">
        <f>'Stavební rozpočet'!K523</f>
        <v>0</v>
      </c>
      <c r="L48" s="70">
        <f>'Stavební rozpočet'!L523</f>
        <v>55751.3992</v>
      </c>
      <c r="M48" s="11" t="s">
        <v>135</v>
      </c>
      <c r="N48" s="11">
        <f t="shared" si="2"/>
        <v>0</v>
      </c>
      <c r="O48" s="2" t="s">
        <v>78</v>
      </c>
      <c r="P48" s="11">
        <f t="shared" si="3"/>
        <v>0</v>
      </c>
    </row>
    <row r="49" spans="1:16" x14ac:dyDescent="0.2">
      <c r="A49" s="69" t="s">
        <v>102</v>
      </c>
      <c r="B49" s="188" t="s">
        <v>127</v>
      </c>
      <c r="C49" s="169"/>
      <c r="D49" s="169"/>
      <c r="E49" s="169"/>
      <c r="F49" s="169"/>
      <c r="G49" s="169"/>
      <c r="H49" s="169"/>
      <c r="I49" s="65">
        <f>'Stavební rozpočet'!I528</f>
        <v>0</v>
      </c>
      <c r="J49" s="65">
        <f>'Stavební rozpočet'!J528</f>
        <v>0</v>
      </c>
      <c r="K49" s="65">
        <f>'Stavební rozpočet'!K528</f>
        <v>0</v>
      </c>
      <c r="L49" s="70">
        <f>'Stavební rozpočet'!L528</f>
        <v>1587</v>
      </c>
      <c r="M49" s="11" t="s">
        <v>135</v>
      </c>
      <c r="N49" s="11">
        <f t="shared" si="2"/>
        <v>0</v>
      </c>
      <c r="O49" s="2" t="s">
        <v>78</v>
      </c>
      <c r="P49" s="11">
        <f t="shared" si="3"/>
        <v>0</v>
      </c>
    </row>
    <row r="50" spans="1:16" x14ac:dyDescent="0.2">
      <c r="A50" s="69" t="s">
        <v>95</v>
      </c>
      <c r="B50" s="188" t="s">
        <v>121</v>
      </c>
      <c r="C50" s="169"/>
      <c r="D50" s="169"/>
      <c r="E50" s="169"/>
      <c r="F50" s="169"/>
      <c r="G50" s="169"/>
      <c r="H50" s="169"/>
      <c r="I50" s="65">
        <f>'Stavební rozpočet'!I532</f>
        <v>0</v>
      </c>
      <c r="J50" s="65">
        <f>'Stavební rozpočet'!J532</f>
        <v>0</v>
      </c>
      <c r="K50" s="65">
        <f>'Stavební rozpočet'!K532</f>
        <v>0</v>
      </c>
      <c r="L50" s="70">
        <f>'Stavební rozpočet'!L532</f>
        <v>13521.677</v>
      </c>
      <c r="M50" s="11" t="s">
        <v>135</v>
      </c>
      <c r="N50" s="11">
        <f t="shared" si="2"/>
        <v>0</v>
      </c>
      <c r="O50" s="2" t="s">
        <v>78</v>
      </c>
      <c r="P50" s="11">
        <f t="shared" si="3"/>
        <v>0</v>
      </c>
    </row>
    <row r="51" spans="1:16" x14ac:dyDescent="0.2">
      <c r="A51" s="69" t="s">
        <v>99</v>
      </c>
      <c r="B51" s="188" t="s">
        <v>125</v>
      </c>
      <c r="C51" s="169"/>
      <c r="D51" s="169"/>
      <c r="E51" s="169"/>
      <c r="F51" s="169"/>
      <c r="G51" s="169"/>
      <c r="H51" s="169"/>
      <c r="I51" s="65">
        <f>'Stavební rozpočet'!I536</f>
        <v>0</v>
      </c>
      <c r="J51" s="65">
        <f>'Stavební rozpočet'!J536</f>
        <v>0</v>
      </c>
      <c r="K51" s="65">
        <f>'Stavební rozpočet'!K536</f>
        <v>0</v>
      </c>
      <c r="L51" s="70">
        <f>'Stavební rozpočet'!L536</f>
        <v>537</v>
      </c>
      <c r="M51" s="11" t="s">
        <v>135</v>
      </c>
      <c r="N51" s="11">
        <f t="shared" si="2"/>
        <v>0</v>
      </c>
      <c r="O51" s="2" t="s">
        <v>78</v>
      </c>
      <c r="P51" s="11">
        <f t="shared" si="3"/>
        <v>0</v>
      </c>
    </row>
    <row r="52" spans="1:16" x14ac:dyDescent="0.2">
      <c r="A52" s="69"/>
      <c r="B52" s="188" t="s">
        <v>65</v>
      </c>
      <c r="C52" s="169"/>
      <c r="D52" s="169"/>
      <c r="E52" s="169"/>
      <c r="F52" s="169"/>
      <c r="G52" s="169"/>
      <c r="H52" s="169"/>
      <c r="I52" s="65">
        <f>'Stavební rozpočet'!I538</f>
        <v>0</v>
      </c>
      <c r="J52" s="65">
        <f>'Stavební rozpočet'!J538</f>
        <v>0</v>
      </c>
      <c r="K52" s="65">
        <f>'Stavební rozpočet'!K538</f>
        <v>0</v>
      </c>
      <c r="L52" s="70">
        <f>'Stavební rozpočet'!L538</f>
        <v>191544.44</v>
      </c>
      <c r="M52" s="11" t="s">
        <v>75</v>
      </c>
      <c r="N52" s="11">
        <f t="shared" si="2"/>
        <v>0</v>
      </c>
      <c r="O52" s="2" t="s">
        <v>79</v>
      </c>
      <c r="P52" s="11">
        <f t="shared" si="3"/>
        <v>0</v>
      </c>
    </row>
    <row r="53" spans="1:16" x14ac:dyDescent="0.2">
      <c r="A53" s="69" t="s">
        <v>103</v>
      </c>
      <c r="B53" s="188" t="s">
        <v>128</v>
      </c>
      <c r="C53" s="169"/>
      <c r="D53" s="169"/>
      <c r="E53" s="169"/>
      <c r="F53" s="169"/>
      <c r="G53" s="169"/>
      <c r="H53" s="169"/>
      <c r="I53" s="65">
        <f>'Stavební rozpočet'!I539</f>
        <v>0</v>
      </c>
      <c r="J53" s="65">
        <f>'Stavební rozpočet'!J539</f>
        <v>0</v>
      </c>
      <c r="K53" s="65">
        <f>'Stavební rozpočet'!K539</f>
        <v>0</v>
      </c>
      <c r="L53" s="70">
        <f>'Stavební rozpočet'!L539</f>
        <v>14167</v>
      </c>
      <c r="M53" s="11" t="s">
        <v>135</v>
      </c>
      <c r="N53" s="11">
        <f t="shared" si="2"/>
        <v>0</v>
      </c>
      <c r="O53" s="2" t="s">
        <v>79</v>
      </c>
      <c r="P53" s="11">
        <f t="shared" si="3"/>
        <v>0</v>
      </c>
    </row>
    <row r="54" spans="1:16" x14ac:dyDescent="0.2">
      <c r="A54" s="69" t="s">
        <v>101</v>
      </c>
      <c r="B54" s="188" t="s">
        <v>126</v>
      </c>
      <c r="C54" s="169"/>
      <c r="D54" s="169"/>
      <c r="E54" s="169"/>
      <c r="F54" s="169"/>
      <c r="G54" s="169"/>
      <c r="H54" s="169"/>
      <c r="I54" s="65">
        <f>'Stavební rozpočet'!I556</f>
        <v>0</v>
      </c>
      <c r="J54" s="65">
        <f>'Stavební rozpočet'!J556</f>
        <v>0</v>
      </c>
      <c r="K54" s="65">
        <f>'Stavební rozpočet'!K556</f>
        <v>0</v>
      </c>
      <c r="L54" s="70">
        <f>'Stavební rozpočet'!L556</f>
        <v>23466</v>
      </c>
      <c r="M54" s="11" t="s">
        <v>135</v>
      </c>
      <c r="N54" s="11">
        <f t="shared" si="2"/>
        <v>0</v>
      </c>
      <c r="O54" s="2" t="s">
        <v>79</v>
      </c>
      <c r="P54" s="11">
        <f t="shared" si="3"/>
        <v>0</v>
      </c>
    </row>
    <row r="55" spans="1:16" x14ac:dyDescent="0.2">
      <c r="A55" s="69" t="s">
        <v>104</v>
      </c>
      <c r="B55" s="188" t="s">
        <v>129</v>
      </c>
      <c r="C55" s="169"/>
      <c r="D55" s="169"/>
      <c r="E55" s="169"/>
      <c r="F55" s="169"/>
      <c r="G55" s="169"/>
      <c r="H55" s="169"/>
      <c r="I55" s="65">
        <f>'Stavební rozpočet'!I565</f>
        <v>0</v>
      </c>
      <c r="J55" s="65">
        <f>'Stavební rozpočet'!J565</f>
        <v>0</v>
      </c>
      <c r="K55" s="65">
        <f>'Stavební rozpočet'!K565</f>
        <v>0</v>
      </c>
      <c r="L55" s="70">
        <f>'Stavební rozpočet'!L565</f>
        <v>13117</v>
      </c>
      <c r="M55" s="11" t="s">
        <v>135</v>
      </c>
      <c r="N55" s="11">
        <f t="shared" si="2"/>
        <v>0</v>
      </c>
      <c r="O55" s="2" t="s">
        <v>79</v>
      </c>
      <c r="P55" s="11">
        <f t="shared" si="3"/>
        <v>0</v>
      </c>
    </row>
    <row r="56" spans="1:16" x14ac:dyDescent="0.2">
      <c r="A56" s="69" t="s">
        <v>89</v>
      </c>
      <c r="B56" s="188" t="s">
        <v>115</v>
      </c>
      <c r="C56" s="169"/>
      <c r="D56" s="169"/>
      <c r="E56" s="169"/>
      <c r="F56" s="169"/>
      <c r="G56" s="169"/>
      <c r="H56" s="169"/>
      <c r="I56" s="65">
        <f>'Stavební rozpočet'!I573</f>
        <v>0</v>
      </c>
      <c r="J56" s="65">
        <f>'Stavební rozpočet'!J573</f>
        <v>0</v>
      </c>
      <c r="K56" s="65">
        <f>'Stavební rozpočet'!K573</f>
        <v>0</v>
      </c>
      <c r="L56" s="70">
        <f>'Stavební rozpočet'!L573</f>
        <v>16325</v>
      </c>
      <c r="M56" s="11" t="s">
        <v>135</v>
      </c>
      <c r="N56" s="11">
        <f t="shared" si="2"/>
        <v>0</v>
      </c>
      <c r="O56" s="2" t="s">
        <v>79</v>
      </c>
      <c r="P56" s="11">
        <f t="shared" si="3"/>
        <v>0</v>
      </c>
    </row>
    <row r="57" spans="1:16" x14ac:dyDescent="0.2">
      <c r="A57" s="69" t="s">
        <v>105</v>
      </c>
      <c r="B57" s="188" t="s">
        <v>130</v>
      </c>
      <c r="C57" s="169"/>
      <c r="D57" s="169"/>
      <c r="E57" s="169"/>
      <c r="F57" s="169"/>
      <c r="G57" s="169"/>
      <c r="H57" s="169"/>
      <c r="I57" s="65">
        <f>'Stavební rozpočet'!I598</f>
        <v>0</v>
      </c>
      <c r="J57" s="65">
        <f>'Stavební rozpočet'!J598</f>
        <v>0</v>
      </c>
      <c r="K57" s="65">
        <f>'Stavební rozpočet'!K598</f>
        <v>0</v>
      </c>
      <c r="L57" s="70">
        <f>'Stavební rozpočet'!L598</f>
        <v>8422</v>
      </c>
      <c r="M57" s="11" t="s">
        <v>135</v>
      </c>
      <c r="N57" s="11">
        <f t="shared" si="2"/>
        <v>0</v>
      </c>
      <c r="O57" s="2" t="s">
        <v>79</v>
      </c>
      <c r="P57" s="11">
        <f t="shared" si="3"/>
        <v>0</v>
      </c>
    </row>
    <row r="58" spans="1:16" x14ac:dyDescent="0.2">
      <c r="A58" s="69" t="s">
        <v>106</v>
      </c>
      <c r="B58" s="188" t="s">
        <v>131</v>
      </c>
      <c r="C58" s="169"/>
      <c r="D58" s="169"/>
      <c r="E58" s="169"/>
      <c r="F58" s="169"/>
      <c r="G58" s="169"/>
      <c r="H58" s="169"/>
      <c r="I58" s="65">
        <f>'Stavební rozpočet'!I604</f>
        <v>0</v>
      </c>
      <c r="J58" s="65">
        <f>'Stavební rozpočet'!J604</f>
        <v>0</v>
      </c>
      <c r="K58" s="65">
        <f>'Stavební rozpočet'!K604</f>
        <v>0</v>
      </c>
      <c r="L58" s="70">
        <f>'Stavební rozpočet'!L604</f>
        <v>3630</v>
      </c>
      <c r="M58" s="11" t="s">
        <v>135</v>
      </c>
      <c r="N58" s="11">
        <f t="shared" si="2"/>
        <v>0</v>
      </c>
      <c r="O58" s="2" t="s">
        <v>79</v>
      </c>
      <c r="P58" s="11">
        <f t="shared" si="3"/>
        <v>0</v>
      </c>
    </row>
    <row r="59" spans="1:16" x14ac:dyDescent="0.2">
      <c r="A59" s="69" t="s">
        <v>107</v>
      </c>
      <c r="B59" s="188" t="s">
        <v>132</v>
      </c>
      <c r="C59" s="169"/>
      <c r="D59" s="169"/>
      <c r="E59" s="169"/>
      <c r="F59" s="169"/>
      <c r="G59" s="169"/>
      <c r="H59" s="169"/>
      <c r="I59" s="65">
        <f>'Stavební rozpočet'!I607</f>
        <v>0</v>
      </c>
      <c r="J59" s="65">
        <f>'Stavební rozpočet'!J607</f>
        <v>0</v>
      </c>
      <c r="K59" s="65">
        <f>'Stavební rozpočet'!K607</f>
        <v>0</v>
      </c>
      <c r="L59" s="70">
        <f>'Stavební rozpočet'!L607</f>
        <v>112417.43999999999</v>
      </c>
      <c r="M59" s="11" t="s">
        <v>135</v>
      </c>
      <c r="N59" s="11">
        <f t="shared" si="2"/>
        <v>0</v>
      </c>
      <c r="O59" s="2" t="s">
        <v>79</v>
      </c>
      <c r="P59" s="11">
        <f t="shared" si="3"/>
        <v>0</v>
      </c>
    </row>
    <row r="60" spans="1:16" x14ac:dyDescent="0.2">
      <c r="A60" s="69"/>
      <c r="B60" s="188" t="s">
        <v>66</v>
      </c>
      <c r="C60" s="169"/>
      <c r="D60" s="169"/>
      <c r="E60" s="169"/>
      <c r="F60" s="169"/>
      <c r="G60" s="169"/>
      <c r="H60" s="169"/>
      <c r="I60" s="65">
        <f>'Stavební rozpočet'!I622</f>
        <v>0</v>
      </c>
      <c r="J60" s="65">
        <f>'Stavební rozpočet'!J622</f>
        <v>0</v>
      </c>
      <c r="K60" s="65">
        <f>'Stavební rozpočet'!K622</f>
        <v>0</v>
      </c>
      <c r="L60" s="70">
        <f>'Stavební rozpočet'!L622</f>
        <v>624</v>
      </c>
      <c r="M60" s="11" t="s">
        <v>75</v>
      </c>
      <c r="N60" s="11">
        <f t="shared" si="2"/>
        <v>0</v>
      </c>
      <c r="O60" s="2" t="s">
        <v>80</v>
      </c>
      <c r="P60" s="11">
        <f t="shared" si="3"/>
        <v>0</v>
      </c>
    </row>
    <row r="61" spans="1:16" x14ac:dyDescent="0.2">
      <c r="A61" s="69" t="s">
        <v>108</v>
      </c>
      <c r="B61" s="188" t="s">
        <v>133</v>
      </c>
      <c r="C61" s="169"/>
      <c r="D61" s="169"/>
      <c r="E61" s="169"/>
      <c r="F61" s="169"/>
      <c r="G61" s="169"/>
      <c r="H61" s="169"/>
      <c r="I61" s="65">
        <f>'Stavební rozpočet'!I623</f>
        <v>0</v>
      </c>
      <c r="J61" s="65">
        <f>'Stavební rozpočet'!J623</f>
        <v>0</v>
      </c>
      <c r="K61" s="65">
        <f>'Stavební rozpočet'!K623</f>
        <v>0</v>
      </c>
      <c r="L61" s="70">
        <f>'Stavební rozpočet'!L623</f>
        <v>624</v>
      </c>
      <c r="M61" s="11" t="s">
        <v>135</v>
      </c>
      <c r="N61" s="11">
        <f t="shared" si="2"/>
        <v>0</v>
      </c>
      <c r="O61" s="2" t="s">
        <v>80</v>
      </c>
      <c r="P61" s="11">
        <f t="shared" si="3"/>
        <v>0</v>
      </c>
    </row>
    <row r="62" spans="1:16" x14ac:dyDescent="0.2">
      <c r="A62" s="69"/>
      <c r="B62" s="188" t="s">
        <v>67</v>
      </c>
      <c r="C62" s="169"/>
      <c r="D62" s="169"/>
      <c r="E62" s="169"/>
      <c r="F62" s="169"/>
      <c r="G62" s="169"/>
      <c r="H62" s="169"/>
      <c r="I62" s="65">
        <f>'Stavební rozpočet'!I627</f>
        <v>0</v>
      </c>
      <c r="J62" s="65">
        <f>'Stavební rozpočet'!J627</f>
        <v>0</v>
      </c>
      <c r="K62" s="65">
        <f>'Stavební rozpočet'!K627</f>
        <v>0</v>
      </c>
      <c r="L62" s="70">
        <f>'Stavební rozpočet'!L627</f>
        <v>18498</v>
      </c>
      <c r="M62" s="11" t="s">
        <v>75</v>
      </c>
      <c r="N62" s="11">
        <f t="shared" si="2"/>
        <v>0</v>
      </c>
      <c r="O62" s="2" t="s">
        <v>81</v>
      </c>
      <c r="P62" s="11">
        <f t="shared" si="3"/>
        <v>0</v>
      </c>
    </row>
    <row r="63" spans="1:16" x14ac:dyDescent="0.2">
      <c r="A63" s="71" t="s">
        <v>109</v>
      </c>
      <c r="B63" s="186" t="s">
        <v>134</v>
      </c>
      <c r="C63" s="187"/>
      <c r="D63" s="187"/>
      <c r="E63" s="187"/>
      <c r="F63" s="187"/>
      <c r="G63" s="187"/>
      <c r="H63" s="187"/>
      <c r="I63" s="66">
        <f>'Stavební rozpočet'!I628</f>
        <v>0</v>
      </c>
      <c r="J63" s="66">
        <f>'Stavební rozpočet'!J628</f>
        <v>0</v>
      </c>
      <c r="K63" s="66">
        <f>'Stavební rozpočet'!K628</f>
        <v>0</v>
      </c>
      <c r="L63" s="72">
        <f>'Stavební rozpočet'!L628</f>
        <v>18498</v>
      </c>
      <c r="M63" s="11" t="s">
        <v>135</v>
      </c>
      <c r="N63" s="11">
        <f t="shared" si="2"/>
        <v>0</v>
      </c>
      <c r="O63" s="2" t="s">
        <v>81</v>
      </c>
      <c r="P63" s="11">
        <f t="shared" si="3"/>
        <v>0</v>
      </c>
    </row>
    <row r="64" spans="1:16" x14ac:dyDescent="0.2">
      <c r="A64" s="59"/>
      <c r="B64" s="1"/>
      <c r="C64" s="1"/>
      <c r="D64" s="1"/>
      <c r="E64" s="1"/>
      <c r="F64" s="1"/>
      <c r="G64" s="1"/>
      <c r="H64" s="1"/>
      <c r="I64" s="154" t="s">
        <v>72</v>
      </c>
      <c r="J64" s="155"/>
      <c r="K64" s="55">
        <f>SUM(N12:N63)</f>
        <v>0</v>
      </c>
      <c r="L64" s="60"/>
    </row>
    <row r="65" spans="1:12" ht="11.25" customHeight="1" x14ac:dyDescent="0.2">
      <c r="A65" s="61" t="s">
        <v>17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3"/>
    </row>
    <row r="66" spans="1:12" ht="38.450000000000003" customHeight="1" thickBot="1" x14ac:dyDescent="0.25">
      <c r="A66" s="156" t="s">
        <v>18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8"/>
    </row>
  </sheetData>
  <mergeCells count="82">
    <mergeCell ref="A1:L1"/>
    <mergeCell ref="A2:C3"/>
    <mergeCell ref="D2:F3"/>
    <mergeCell ref="G2:G3"/>
    <mergeCell ref="H2:H3"/>
    <mergeCell ref="I2:I3"/>
    <mergeCell ref="J2:L3"/>
    <mergeCell ref="A4:C5"/>
    <mergeCell ref="D4:F5"/>
    <mergeCell ref="G4:G5"/>
    <mergeCell ref="H4:H5"/>
    <mergeCell ref="I4:I5"/>
    <mergeCell ref="J4:L5"/>
    <mergeCell ref="A6:C7"/>
    <mergeCell ref="D6:F7"/>
    <mergeCell ref="G6:G7"/>
    <mergeCell ref="H6:H7"/>
    <mergeCell ref="I6:I7"/>
    <mergeCell ref="J6:L7"/>
    <mergeCell ref="A8:C9"/>
    <mergeCell ref="D8:F9"/>
    <mergeCell ref="G8:G9"/>
    <mergeCell ref="H8:H9"/>
    <mergeCell ref="I8:I9"/>
    <mergeCell ref="J8:L9"/>
    <mergeCell ref="B10:H10"/>
    <mergeCell ref="I10:K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63:H63"/>
    <mergeCell ref="I64:J64"/>
    <mergeCell ref="A66:L66"/>
    <mergeCell ref="B57:H57"/>
    <mergeCell ref="B58:H58"/>
    <mergeCell ref="B59:H59"/>
    <mergeCell ref="B60:H60"/>
    <mergeCell ref="B61:H61"/>
    <mergeCell ref="B62:H62"/>
  </mergeCells>
  <pageMargins left="0.39400000000000002" right="0.39400000000000002" top="0.59099999999999997" bottom="0.59099999999999997" header="0.5" footer="0.5"/>
  <pageSetup paperSize="9" scale="8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644"/>
  <sheetViews>
    <sheetView workbookViewId="0">
      <pane ySplit="11" topLeftCell="A12" activePane="bottomLeft" state="frozenSplit"/>
      <selection pane="bottomLeft" sqref="A1:M1"/>
    </sheetView>
  </sheetViews>
  <sheetFormatPr defaultColWidth="11.5703125" defaultRowHeight="12.75" x14ac:dyDescent="0.2"/>
  <cols>
    <col min="1" max="1" width="3.7109375" customWidth="1"/>
    <col min="2" max="2" width="13.42578125" customWidth="1"/>
    <col min="3" max="3" width="62" customWidth="1"/>
    <col min="4" max="4" width="15.42578125" customWidth="1"/>
    <col min="5" max="5" width="57.28515625" customWidth="1"/>
    <col min="6" max="6" width="6.42578125" customWidth="1"/>
    <col min="7" max="7" width="10.42578125" customWidth="1"/>
    <col min="8" max="8" width="10.7109375" customWidth="1"/>
    <col min="9" max="9" width="11.42578125" customWidth="1"/>
    <col min="10" max="10" width="12" customWidth="1"/>
    <col min="11" max="11" width="14.28515625" customWidth="1"/>
    <col min="12" max="13" width="11.7109375" customWidth="1"/>
    <col min="25" max="64" width="12.140625" hidden="1" customWidth="1"/>
  </cols>
  <sheetData>
    <row r="1" spans="1:64" ht="52.5" customHeight="1" thickBot="1" x14ac:dyDescent="0.25">
      <c r="A1" s="212" t="s">
        <v>136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4"/>
    </row>
    <row r="2" spans="1:64" x14ac:dyDescent="0.2">
      <c r="A2" s="215" t="s">
        <v>0</v>
      </c>
      <c r="B2" s="192"/>
      <c r="C2" s="216" t="s">
        <v>495</v>
      </c>
      <c r="D2" s="191" t="s">
        <v>68</v>
      </c>
      <c r="E2" s="191" t="s">
        <v>60</v>
      </c>
      <c r="F2" s="217" t="s">
        <v>31</v>
      </c>
      <c r="G2" s="192"/>
      <c r="H2" s="217" t="s">
        <v>1058</v>
      </c>
      <c r="I2" s="192"/>
      <c r="J2" s="192"/>
      <c r="K2" s="192"/>
      <c r="L2" s="192"/>
      <c r="M2" s="218"/>
      <c r="N2" s="32"/>
    </row>
    <row r="3" spans="1:64" x14ac:dyDescent="0.2">
      <c r="A3" s="173"/>
      <c r="B3" s="169"/>
      <c r="C3" s="183"/>
      <c r="D3" s="169"/>
      <c r="E3" s="169"/>
      <c r="F3" s="169"/>
      <c r="G3" s="169"/>
      <c r="H3" s="169"/>
      <c r="I3" s="169"/>
      <c r="J3" s="169"/>
      <c r="K3" s="169"/>
      <c r="L3" s="169"/>
      <c r="M3" s="172"/>
      <c r="N3" s="32"/>
    </row>
    <row r="4" spans="1:64" x14ac:dyDescent="0.2">
      <c r="A4" s="168" t="s">
        <v>1</v>
      </c>
      <c r="B4" s="169"/>
      <c r="C4" s="174" t="s">
        <v>496</v>
      </c>
      <c r="D4" s="188" t="s">
        <v>3</v>
      </c>
      <c r="E4" s="188" t="s">
        <v>60</v>
      </c>
      <c r="F4" s="171" t="s">
        <v>32</v>
      </c>
      <c r="G4" s="169"/>
      <c r="H4" s="171" t="s">
        <v>1059</v>
      </c>
      <c r="I4" s="169"/>
      <c r="J4" s="169"/>
      <c r="K4" s="169"/>
      <c r="L4" s="169"/>
      <c r="M4" s="172"/>
      <c r="N4" s="32"/>
    </row>
    <row r="5" spans="1:64" x14ac:dyDescent="0.2">
      <c r="A5" s="173"/>
      <c r="B5" s="169"/>
      <c r="C5" s="175"/>
      <c r="D5" s="169"/>
      <c r="E5" s="169"/>
      <c r="F5" s="169"/>
      <c r="G5" s="169"/>
      <c r="H5" s="169"/>
      <c r="I5" s="169"/>
      <c r="J5" s="169"/>
      <c r="K5" s="169"/>
      <c r="L5" s="169"/>
      <c r="M5" s="172"/>
      <c r="N5" s="32"/>
    </row>
    <row r="6" spans="1:64" x14ac:dyDescent="0.2">
      <c r="A6" s="168" t="s">
        <v>2</v>
      </c>
      <c r="B6" s="169"/>
      <c r="C6" s="171" t="s">
        <v>497</v>
      </c>
      <c r="D6" s="188" t="s">
        <v>34</v>
      </c>
      <c r="E6" s="188" t="s">
        <v>60</v>
      </c>
      <c r="F6" s="171" t="s">
        <v>33</v>
      </c>
      <c r="G6" s="169"/>
      <c r="H6" s="171" t="s">
        <v>1060</v>
      </c>
      <c r="I6" s="169"/>
      <c r="J6" s="169"/>
      <c r="K6" s="169"/>
      <c r="L6" s="169"/>
      <c r="M6" s="172"/>
      <c r="N6" s="32"/>
    </row>
    <row r="7" spans="1:64" x14ac:dyDescent="0.2">
      <c r="A7" s="173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72"/>
      <c r="N7" s="32"/>
    </row>
    <row r="8" spans="1:64" x14ac:dyDescent="0.2">
      <c r="A8" s="168" t="s">
        <v>4</v>
      </c>
      <c r="B8" s="169"/>
      <c r="C8" s="171">
        <v>8016112</v>
      </c>
      <c r="D8" s="188" t="s">
        <v>69</v>
      </c>
      <c r="E8" s="188" t="s">
        <v>899</v>
      </c>
      <c r="F8" s="171" t="s">
        <v>35</v>
      </c>
      <c r="G8" s="169"/>
      <c r="H8" s="171" t="s">
        <v>1061</v>
      </c>
      <c r="I8" s="169"/>
      <c r="J8" s="169"/>
      <c r="K8" s="169"/>
      <c r="L8" s="169"/>
      <c r="M8" s="172"/>
      <c r="N8" s="32"/>
    </row>
    <row r="9" spans="1:64" ht="13.5" thickBot="1" x14ac:dyDescent="0.25">
      <c r="A9" s="17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  <c r="N9" s="32"/>
    </row>
    <row r="10" spans="1:64" x14ac:dyDescent="0.2">
      <c r="A10" s="15" t="s">
        <v>137</v>
      </c>
      <c r="B10" s="17" t="s">
        <v>83</v>
      </c>
      <c r="C10" s="206" t="s">
        <v>498</v>
      </c>
      <c r="D10" s="207"/>
      <c r="E10" s="208"/>
      <c r="F10" s="17" t="s">
        <v>1046</v>
      </c>
      <c r="G10" s="19" t="s">
        <v>1057</v>
      </c>
      <c r="H10" s="22" t="s">
        <v>1062</v>
      </c>
      <c r="I10" s="162" t="s">
        <v>70</v>
      </c>
      <c r="J10" s="163"/>
      <c r="K10" s="164"/>
      <c r="L10" s="8" t="s">
        <v>74</v>
      </c>
      <c r="M10" s="24" t="s">
        <v>1064</v>
      </c>
      <c r="N10" s="3"/>
      <c r="BK10" s="26" t="s">
        <v>1163</v>
      </c>
      <c r="BL10" s="30" t="s">
        <v>1166</v>
      </c>
    </row>
    <row r="11" spans="1:64" ht="13.5" thickBot="1" x14ac:dyDescent="0.25">
      <c r="A11" s="16" t="s">
        <v>60</v>
      </c>
      <c r="B11" s="18" t="s">
        <v>60</v>
      </c>
      <c r="C11" s="190" t="s">
        <v>499</v>
      </c>
      <c r="D11" s="166"/>
      <c r="E11" s="209"/>
      <c r="F11" s="18" t="s">
        <v>60</v>
      </c>
      <c r="G11" s="18" t="s">
        <v>60</v>
      </c>
      <c r="H11" s="23" t="s">
        <v>1063</v>
      </c>
      <c r="I11" s="5" t="s">
        <v>71</v>
      </c>
      <c r="J11" s="6" t="s">
        <v>21</v>
      </c>
      <c r="K11" s="6" t="s">
        <v>73</v>
      </c>
      <c r="L11" s="7" t="s">
        <v>73</v>
      </c>
      <c r="M11" s="25" t="s">
        <v>1065</v>
      </c>
      <c r="N11" s="3"/>
      <c r="Z11" s="26" t="s">
        <v>1068</v>
      </c>
      <c r="AA11" s="26" t="s">
        <v>1069</v>
      </c>
      <c r="AB11" s="26" t="s">
        <v>1070</v>
      </c>
      <c r="AC11" s="26" t="s">
        <v>1071</v>
      </c>
      <c r="AD11" s="26" t="s">
        <v>1072</v>
      </c>
      <c r="AE11" s="26" t="s">
        <v>1073</v>
      </c>
      <c r="AF11" s="26" t="s">
        <v>1074</v>
      </c>
      <c r="AG11" s="26" t="s">
        <v>1075</v>
      </c>
      <c r="AH11" s="26" t="s">
        <v>1076</v>
      </c>
      <c r="BH11" s="26" t="s">
        <v>1160</v>
      </c>
      <c r="BI11" s="26" t="s">
        <v>1161</v>
      </c>
      <c r="BJ11" s="26" t="s">
        <v>1162</v>
      </c>
    </row>
    <row r="12" spans="1:64" x14ac:dyDescent="0.2">
      <c r="A12" s="74"/>
      <c r="B12" s="73"/>
      <c r="C12" s="210" t="s">
        <v>62</v>
      </c>
      <c r="D12" s="211"/>
      <c r="E12" s="211"/>
      <c r="F12" s="74" t="s">
        <v>60</v>
      </c>
      <c r="G12" s="74" t="s">
        <v>60</v>
      </c>
      <c r="H12" s="74" t="s">
        <v>60</v>
      </c>
      <c r="I12" s="75">
        <f>I13+I28+I55+I90+I93+I100+I103+I122+I155+I183+I187+I204+I208+I235+I252+I272</f>
        <v>0</v>
      </c>
      <c r="J12" s="75">
        <f>J13+J28+J55+J90+J93+J100+J103+J122+J155+J183+J187+J204+J208+J235+J252+J272</f>
        <v>0</v>
      </c>
      <c r="K12" s="75">
        <f>K13+K28+K55+K90+K93+K100+K103+K122+K155+K183+K187+K204+K208+K235+K252+K272</f>
        <v>0</v>
      </c>
      <c r="L12" s="75">
        <f>L13+L28+L55+L90+L93+L100+L103+L122+L155+L183+L187+L204+L208+L235+L252+L272</f>
        <v>673311.21628000005</v>
      </c>
      <c r="M12" s="92"/>
      <c r="N12" s="32"/>
    </row>
    <row r="13" spans="1:64" x14ac:dyDescent="0.2">
      <c r="A13" s="77"/>
      <c r="B13" s="76" t="s">
        <v>84</v>
      </c>
      <c r="C13" s="204" t="s">
        <v>110</v>
      </c>
      <c r="D13" s="205"/>
      <c r="E13" s="205"/>
      <c r="F13" s="77" t="s">
        <v>60</v>
      </c>
      <c r="G13" s="77" t="s">
        <v>60</v>
      </c>
      <c r="H13" s="77" t="s">
        <v>60</v>
      </c>
      <c r="I13" s="78">
        <f>SUM(I14:I25)</f>
        <v>0</v>
      </c>
      <c r="J13" s="78">
        <f>SUM(J14:J25)</f>
        <v>0</v>
      </c>
      <c r="K13" s="78">
        <f>SUM(K14:K25)</f>
        <v>0</v>
      </c>
      <c r="L13" s="78">
        <f>SUM(L14:L25)</f>
        <v>302.94079999999997</v>
      </c>
      <c r="M13" s="93"/>
      <c r="N13" s="32"/>
      <c r="AI13" s="26" t="s">
        <v>76</v>
      </c>
      <c r="AS13" s="31">
        <f>SUM(AJ14:AJ25)</f>
        <v>0</v>
      </c>
      <c r="AT13" s="31">
        <f>SUM(AK14:AK25)</f>
        <v>0</v>
      </c>
      <c r="AU13" s="31">
        <f>SUM(AL14:AL25)</f>
        <v>0</v>
      </c>
    </row>
    <row r="14" spans="1:64" x14ac:dyDescent="0.2">
      <c r="A14" s="79" t="s">
        <v>138</v>
      </c>
      <c r="B14" s="79" t="s">
        <v>351</v>
      </c>
      <c r="C14" s="194" t="s">
        <v>500</v>
      </c>
      <c r="D14" s="195"/>
      <c r="E14" s="195"/>
      <c r="F14" s="79" t="s">
        <v>1047</v>
      </c>
      <c r="G14" s="80">
        <v>19</v>
      </c>
      <c r="H14" s="80">
        <v>0</v>
      </c>
      <c r="I14" s="80">
        <f>G14*AO14</f>
        <v>0</v>
      </c>
      <c r="J14" s="80">
        <f>G14*AP14</f>
        <v>0</v>
      </c>
      <c r="K14" s="80">
        <f>G14*H14</f>
        <v>0</v>
      </c>
      <c r="L14" s="80">
        <f>G14*14</f>
        <v>266</v>
      </c>
      <c r="M14" s="94" t="s">
        <v>1066</v>
      </c>
      <c r="N14" s="32"/>
      <c r="Z14" s="11">
        <f>IF(AQ14="5",BJ14,0)</f>
        <v>0</v>
      </c>
      <c r="AB14" s="11">
        <f>IF(AQ14="1",BH14,0)</f>
        <v>0</v>
      </c>
      <c r="AC14" s="11">
        <f>IF(AQ14="1",BI14,0)</f>
        <v>0</v>
      </c>
      <c r="AD14" s="11">
        <f>IF(AQ14="7",BH14,0)</f>
        <v>0</v>
      </c>
      <c r="AE14" s="11">
        <f>IF(AQ14="7",BI14,0)</f>
        <v>0</v>
      </c>
      <c r="AF14" s="11">
        <f>IF(AQ14="2",BH14,0)</f>
        <v>0</v>
      </c>
      <c r="AG14" s="11">
        <f>IF(AQ14="2",BI14,0)</f>
        <v>0</v>
      </c>
      <c r="AH14" s="11">
        <f>IF(AQ14="0",BJ14,0)</f>
        <v>0</v>
      </c>
      <c r="AI14" s="26" t="s">
        <v>76</v>
      </c>
      <c r="AJ14" s="20">
        <f>IF(AN14=0,K14,0)</f>
        <v>0</v>
      </c>
      <c r="AK14" s="20">
        <f>IF(AN14=15,K14,0)</f>
        <v>0</v>
      </c>
      <c r="AL14" s="20">
        <f>IF(AN14=21,K14,0)</f>
        <v>0</v>
      </c>
      <c r="AN14" s="11">
        <v>21</v>
      </c>
      <c r="AO14" s="11">
        <f>H14*0.0579275023179831</f>
        <v>0</v>
      </c>
      <c r="AP14" s="11">
        <f>H14*(1-0.0579275023179831)</f>
        <v>0</v>
      </c>
      <c r="AQ14" s="27" t="s">
        <v>138</v>
      </c>
      <c r="AV14" s="11">
        <f>AW14+AX14</f>
        <v>0</v>
      </c>
      <c r="AW14" s="11">
        <f>G14*AO14</f>
        <v>0</v>
      </c>
      <c r="AX14" s="11">
        <f>G14*AP14</f>
        <v>0</v>
      </c>
      <c r="AY14" s="29" t="s">
        <v>1077</v>
      </c>
      <c r="AZ14" s="29" t="s">
        <v>1103</v>
      </c>
      <c r="BA14" s="26" t="s">
        <v>1128</v>
      </c>
      <c r="BB14" s="26" t="s">
        <v>1134</v>
      </c>
      <c r="BC14" s="11">
        <f>AW14+AX14</f>
        <v>0</v>
      </c>
      <c r="BD14" s="11">
        <f>H14/(100-BE14)*100</f>
        <v>0</v>
      </c>
      <c r="BE14" s="11">
        <v>0</v>
      </c>
      <c r="BF14" s="11">
        <f>L14</f>
        <v>266</v>
      </c>
      <c r="BH14" s="20">
        <f>G14*AO14</f>
        <v>0</v>
      </c>
      <c r="BI14" s="20">
        <f>G14*AP14</f>
        <v>0</v>
      </c>
      <c r="BJ14" s="20">
        <f>G14*H14</f>
        <v>0</v>
      </c>
      <c r="BK14" s="20" t="s">
        <v>1164</v>
      </c>
      <c r="BL14" s="11">
        <v>31</v>
      </c>
    </row>
    <row r="15" spans="1:64" x14ac:dyDescent="0.2">
      <c r="A15" s="35"/>
      <c r="B15" s="36"/>
      <c r="C15" s="81" t="s">
        <v>501</v>
      </c>
      <c r="D15" s="36"/>
      <c r="E15" s="82" t="s">
        <v>900</v>
      </c>
      <c r="F15" s="36"/>
      <c r="G15" s="83">
        <v>19</v>
      </c>
      <c r="H15" s="36"/>
      <c r="I15" s="36"/>
      <c r="J15" s="36"/>
      <c r="K15" s="36"/>
      <c r="L15" s="36"/>
      <c r="M15" s="35"/>
      <c r="N15" s="32"/>
    </row>
    <row r="16" spans="1:64" x14ac:dyDescent="0.2">
      <c r="A16" s="84" t="s">
        <v>139</v>
      </c>
      <c r="B16" s="84" t="s">
        <v>352</v>
      </c>
      <c r="C16" s="198" t="s">
        <v>502</v>
      </c>
      <c r="D16" s="199"/>
      <c r="E16" s="199"/>
      <c r="F16" s="84" t="s">
        <v>1048</v>
      </c>
      <c r="G16" s="85">
        <v>0.23105000000000001</v>
      </c>
      <c r="H16" s="85">
        <v>0</v>
      </c>
      <c r="I16" s="85">
        <f>G16*AO16</f>
        <v>0</v>
      </c>
      <c r="J16" s="85">
        <f>G16*AP16</f>
        <v>0</v>
      </c>
      <c r="K16" s="85">
        <f>G16*H16</f>
        <v>0</v>
      </c>
      <c r="L16" s="85">
        <f>G16*16</f>
        <v>3.6968000000000001</v>
      </c>
      <c r="M16" s="95" t="s">
        <v>1066</v>
      </c>
      <c r="N16" s="32"/>
      <c r="Z16" s="11">
        <f>IF(AQ16="5",BJ16,0)</f>
        <v>0</v>
      </c>
      <c r="AB16" s="11">
        <f>IF(AQ16="1",BH16,0)</f>
        <v>0</v>
      </c>
      <c r="AC16" s="11">
        <f>IF(AQ16="1",BI16,0)</f>
        <v>0</v>
      </c>
      <c r="AD16" s="11">
        <f>IF(AQ16="7",BH16,0)</f>
        <v>0</v>
      </c>
      <c r="AE16" s="11">
        <f>IF(AQ16="7",BI16,0)</f>
        <v>0</v>
      </c>
      <c r="AF16" s="11">
        <f>IF(AQ16="2",BH16,0)</f>
        <v>0</v>
      </c>
      <c r="AG16" s="11">
        <f>IF(AQ16="2",BI16,0)</f>
        <v>0</v>
      </c>
      <c r="AH16" s="11">
        <f>IF(AQ16="0",BJ16,0)</f>
        <v>0</v>
      </c>
      <c r="AI16" s="26" t="s">
        <v>76</v>
      </c>
      <c r="AJ16" s="21">
        <f>IF(AN16=0,K16,0)</f>
        <v>0</v>
      </c>
      <c r="AK16" s="21">
        <f>IF(AN16=15,K16,0)</f>
        <v>0</v>
      </c>
      <c r="AL16" s="21">
        <f>IF(AN16=21,K16,0)</f>
        <v>0</v>
      </c>
      <c r="AN16" s="11">
        <v>21</v>
      </c>
      <c r="AO16" s="11">
        <f>H16*1</f>
        <v>0</v>
      </c>
      <c r="AP16" s="11">
        <f>H16*(1-1)</f>
        <v>0</v>
      </c>
      <c r="AQ16" s="28" t="s">
        <v>138</v>
      </c>
      <c r="AV16" s="11">
        <f>AW16+AX16</f>
        <v>0</v>
      </c>
      <c r="AW16" s="11">
        <f>G16*AO16</f>
        <v>0</v>
      </c>
      <c r="AX16" s="11">
        <f>G16*AP16</f>
        <v>0</v>
      </c>
      <c r="AY16" s="29" t="s">
        <v>1077</v>
      </c>
      <c r="AZ16" s="29" t="s">
        <v>1103</v>
      </c>
      <c r="BA16" s="26" t="s">
        <v>1128</v>
      </c>
      <c r="BC16" s="11">
        <f>AW16+AX16</f>
        <v>0</v>
      </c>
      <c r="BD16" s="11">
        <f>H16/(100-BE16)*100</f>
        <v>0</v>
      </c>
      <c r="BE16" s="11">
        <v>0</v>
      </c>
      <c r="BF16" s="11">
        <f>L16</f>
        <v>3.6968000000000001</v>
      </c>
      <c r="BH16" s="21">
        <f>G16*AO16</f>
        <v>0</v>
      </c>
      <c r="BI16" s="21">
        <f>G16*AP16</f>
        <v>0</v>
      </c>
      <c r="BJ16" s="21">
        <f>G16*H16</f>
        <v>0</v>
      </c>
      <c r="BK16" s="21" t="s">
        <v>1165</v>
      </c>
      <c r="BL16" s="11">
        <v>31</v>
      </c>
    </row>
    <row r="17" spans="1:64" x14ac:dyDescent="0.2">
      <c r="A17" s="35"/>
      <c r="B17" s="36"/>
      <c r="C17" s="81" t="s">
        <v>503</v>
      </c>
      <c r="D17" s="36"/>
      <c r="E17" s="82"/>
      <c r="F17" s="36"/>
      <c r="G17" s="83">
        <v>0.21593000000000001</v>
      </c>
      <c r="H17" s="36"/>
      <c r="I17" s="36"/>
      <c r="J17" s="36"/>
      <c r="K17" s="36"/>
      <c r="L17" s="36"/>
      <c r="M17" s="35"/>
      <c r="N17" s="32"/>
    </row>
    <row r="18" spans="1:64" x14ac:dyDescent="0.2">
      <c r="A18" s="35"/>
      <c r="B18" s="36"/>
      <c r="C18" s="81" t="s">
        <v>504</v>
      </c>
      <c r="D18" s="36"/>
      <c r="E18" s="82"/>
      <c r="F18" s="36"/>
      <c r="G18" s="83">
        <v>1.512E-2</v>
      </c>
      <c r="H18" s="36"/>
      <c r="I18" s="36"/>
      <c r="J18" s="36"/>
      <c r="K18" s="36"/>
      <c r="L18" s="36"/>
      <c r="M18" s="35"/>
      <c r="N18" s="32"/>
    </row>
    <row r="19" spans="1:64" x14ac:dyDescent="0.2">
      <c r="A19" s="79" t="s">
        <v>140</v>
      </c>
      <c r="B19" s="79" t="s">
        <v>353</v>
      </c>
      <c r="C19" s="194" t="s">
        <v>505</v>
      </c>
      <c r="D19" s="195"/>
      <c r="E19" s="195"/>
      <c r="F19" s="79" t="s">
        <v>1049</v>
      </c>
      <c r="G19" s="80">
        <v>0.216</v>
      </c>
      <c r="H19" s="80">
        <v>0</v>
      </c>
      <c r="I19" s="80">
        <f>G19*AO19</f>
        <v>0</v>
      </c>
      <c r="J19" s="80">
        <f>G19*AP19</f>
        <v>0</v>
      </c>
      <c r="K19" s="80">
        <f>G19*H19</f>
        <v>0</v>
      </c>
      <c r="L19" s="80">
        <f>G19*19</f>
        <v>4.1040000000000001</v>
      </c>
      <c r="M19" s="94" t="s">
        <v>1066</v>
      </c>
      <c r="N19" s="32"/>
      <c r="Z19" s="11">
        <f>IF(AQ19="5",BJ19,0)</f>
        <v>0</v>
      </c>
      <c r="AB19" s="11">
        <f>IF(AQ19="1",BH19,0)</f>
        <v>0</v>
      </c>
      <c r="AC19" s="11">
        <f>IF(AQ19="1",BI19,0)</f>
        <v>0</v>
      </c>
      <c r="AD19" s="11">
        <f>IF(AQ19="7",BH19,0)</f>
        <v>0</v>
      </c>
      <c r="AE19" s="11">
        <f>IF(AQ19="7",BI19,0)</f>
        <v>0</v>
      </c>
      <c r="AF19" s="11">
        <f>IF(AQ19="2",BH19,0)</f>
        <v>0</v>
      </c>
      <c r="AG19" s="11">
        <f>IF(AQ19="2",BI19,0)</f>
        <v>0</v>
      </c>
      <c r="AH19" s="11">
        <f>IF(AQ19="0",BJ19,0)</f>
        <v>0</v>
      </c>
      <c r="AI19" s="26" t="s">
        <v>76</v>
      </c>
      <c r="AJ19" s="20">
        <f>IF(AN19=0,K19,0)</f>
        <v>0</v>
      </c>
      <c r="AK19" s="20">
        <f>IF(AN19=15,K19,0)</f>
        <v>0</v>
      </c>
      <c r="AL19" s="20">
        <f>IF(AN19=21,K19,0)</f>
        <v>0</v>
      </c>
      <c r="AN19" s="11">
        <v>21</v>
      </c>
      <c r="AO19" s="11">
        <f>H19*0.563204</f>
        <v>0</v>
      </c>
      <c r="AP19" s="11">
        <f>H19*(1-0.563204)</f>
        <v>0</v>
      </c>
      <c r="AQ19" s="27" t="s">
        <v>138</v>
      </c>
      <c r="AV19" s="11">
        <f>AW19+AX19</f>
        <v>0</v>
      </c>
      <c r="AW19" s="11">
        <f>G19*AO19</f>
        <v>0</v>
      </c>
      <c r="AX19" s="11">
        <f>G19*AP19</f>
        <v>0</v>
      </c>
      <c r="AY19" s="29" t="s">
        <v>1077</v>
      </c>
      <c r="AZ19" s="29" t="s">
        <v>1103</v>
      </c>
      <c r="BA19" s="26" t="s">
        <v>1128</v>
      </c>
      <c r="BB19" s="26" t="s">
        <v>1134</v>
      </c>
      <c r="BC19" s="11">
        <f>AW19+AX19</f>
        <v>0</v>
      </c>
      <c r="BD19" s="11">
        <f>H19/(100-BE19)*100</f>
        <v>0</v>
      </c>
      <c r="BE19" s="11">
        <v>0</v>
      </c>
      <c r="BF19" s="11">
        <f>L19</f>
        <v>4.1040000000000001</v>
      </c>
      <c r="BH19" s="20">
        <f>G19*AO19</f>
        <v>0</v>
      </c>
      <c r="BI19" s="20">
        <f>G19*AP19</f>
        <v>0</v>
      </c>
      <c r="BJ19" s="20">
        <f>G19*H19</f>
        <v>0</v>
      </c>
      <c r="BK19" s="20" t="s">
        <v>1164</v>
      </c>
      <c r="BL19" s="11">
        <v>31</v>
      </c>
    </row>
    <row r="20" spans="1:64" x14ac:dyDescent="0.2">
      <c r="A20" s="35"/>
      <c r="B20" s="86" t="s">
        <v>354</v>
      </c>
      <c r="C20" s="196" t="s">
        <v>506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32"/>
    </row>
    <row r="21" spans="1:64" x14ac:dyDescent="0.2">
      <c r="A21" s="35"/>
      <c r="B21" s="36"/>
      <c r="C21" s="81" t="s">
        <v>507</v>
      </c>
      <c r="D21" s="36"/>
      <c r="E21" s="82" t="s">
        <v>901</v>
      </c>
      <c r="F21" s="36"/>
      <c r="G21" s="83">
        <v>0.16200000000000001</v>
      </c>
      <c r="H21" s="36"/>
      <c r="I21" s="36"/>
      <c r="J21" s="36"/>
      <c r="K21" s="36"/>
      <c r="L21" s="36"/>
      <c r="M21" s="35"/>
      <c r="N21" s="32"/>
    </row>
    <row r="22" spans="1:64" x14ac:dyDescent="0.2">
      <c r="A22" s="35"/>
      <c r="B22" s="36"/>
      <c r="C22" s="81" t="s">
        <v>508</v>
      </c>
      <c r="D22" s="36"/>
      <c r="E22" s="82"/>
      <c r="F22" s="36"/>
      <c r="G22" s="83">
        <v>5.3999999999999999E-2</v>
      </c>
      <c r="H22" s="36"/>
      <c r="I22" s="36"/>
      <c r="J22" s="36"/>
      <c r="K22" s="36"/>
      <c r="L22" s="36"/>
      <c r="M22" s="35"/>
      <c r="N22" s="32"/>
    </row>
    <row r="23" spans="1:64" x14ac:dyDescent="0.2">
      <c r="A23" s="79" t="s">
        <v>141</v>
      </c>
      <c r="B23" s="79" t="s">
        <v>355</v>
      </c>
      <c r="C23" s="194" t="s">
        <v>509</v>
      </c>
      <c r="D23" s="195"/>
      <c r="E23" s="195"/>
      <c r="F23" s="79" t="s">
        <v>1049</v>
      </c>
      <c r="G23" s="80">
        <v>0.18</v>
      </c>
      <c r="H23" s="80">
        <v>0</v>
      </c>
      <c r="I23" s="80">
        <f>G23*AO23</f>
        <v>0</v>
      </c>
      <c r="J23" s="80">
        <f>G23*AP23</f>
        <v>0</v>
      </c>
      <c r="K23" s="80">
        <f>G23*H23</f>
        <v>0</v>
      </c>
      <c r="L23" s="80">
        <f>G23*23</f>
        <v>4.1399999999999997</v>
      </c>
      <c r="M23" s="94" t="s">
        <v>1066</v>
      </c>
      <c r="N23" s="32"/>
      <c r="Z23" s="11">
        <f>IF(AQ23="5",BJ23,0)</f>
        <v>0</v>
      </c>
      <c r="AB23" s="11">
        <f>IF(AQ23="1",BH23,0)</f>
        <v>0</v>
      </c>
      <c r="AC23" s="11">
        <f>IF(AQ23="1",BI23,0)</f>
        <v>0</v>
      </c>
      <c r="AD23" s="11">
        <f>IF(AQ23="7",BH23,0)</f>
        <v>0</v>
      </c>
      <c r="AE23" s="11">
        <f>IF(AQ23="7",BI23,0)</f>
        <v>0</v>
      </c>
      <c r="AF23" s="11">
        <f>IF(AQ23="2",BH23,0)</f>
        <v>0</v>
      </c>
      <c r="AG23" s="11">
        <f>IF(AQ23="2",BI23,0)</f>
        <v>0</v>
      </c>
      <c r="AH23" s="11">
        <f>IF(AQ23="0",BJ23,0)</f>
        <v>0</v>
      </c>
      <c r="AI23" s="26" t="s">
        <v>76</v>
      </c>
      <c r="AJ23" s="20">
        <f>IF(AN23=0,K23,0)</f>
        <v>0</v>
      </c>
      <c r="AK23" s="20">
        <f>IF(AN23=15,K23,0)</f>
        <v>0</v>
      </c>
      <c r="AL23" s="20">
        <f>IF(AN23=21,K23,0)</f>
        <v>0</v>
      </c>
      <c r="AN23" s="11">
        <v>21</v>
      </c>
      <c r="AO23" s="11">
        <f>H23*0.596720647773279</f>
        <v>0</v>
      </c>
      <c r="AP23" s="11">
        <f>H23*(1-0.596720647773279)</f>
        <v>0</v>
      </c>
      <c r="AQ23" s="27" t="s">
        <v>138</v>
      </c>
      <c r="AV23" s="11">
        <f>AW23+AX23</f>
        <v>0</v>
      </c>
      <c r="AW23" s="11">
        <f>G23*AO23</f>
        <v>0</v>
      </c>
      <c r="AX23" s="11">
        <f>G23*AP23</f>
        <v>0</v>
      </c>
      <c r="AY23" s="29" t="s">
        <v>1077</v>
      </c>
      <c r="AZ23" s="29" t="s">
        <v>1103</v>
      </c>
      <c r="BA23" s="26" t="s">
        <v>1128</v>
      </c>
      <c r="BB23" s="26" t="s">
        <v>1134</v>
      </c>
      <c r="BC23" s="11">
        <f>AW23+AX23</f>
        <v>0</v>
      </c>
      <c r="BD23" s="11">
        <f>H23/(100-BE23)*100</f>
        <v>0</v>
      </c>
      <c r="BE23" s="11">
        <v>0</v>
      </c>
      <c r="BF23" s="11">
        <f>L23</f>
        <v>4.1399999999999997</v>
      </c>
      <c r="BH23" s="20">
        <f>G23*AO23</f>
        <v>0</v>
      </c>
      <c r="BI23" s="20">
        <f>G23*AP23</f>
        <v>0</v>
      </c>
      <c r="BJ23" s="20">
        <f>G23*H23</f>
        <v>0</v>
      </c>
      <c r="BK23" s="20" t="s">
        <v>1164</v>
      </c>
      <c r="BL23" s="11">
        <v>31</v>
      </c>
    </row>
    <row r="24" spans="1:64" x14ac:dyDescent="0.2">
      <c r="A24" s="35"/>
      <c r="B24" s="36"/>
      <c r="C24" s="81" t="s">
        <v>510</v>
      </c>
      <c r="D24" s="36"/>
      <c r="E24" s="82" t="s">
        <v>902</v>
      </c>
      <c r="F24" s="36"/>
      <c r="G24" s="83">
        <v>0.18</v>
      </c>
      <c r="H24" s="36"/>
      <c r="I24" s="36"/>
      <c r="J24" s="36"/>
      <c r="K24" s="36"/>
      <c r="L24" s="36"/>
      <c r="M24" s="35"/>
      <c r="N24" s="32"/>
    </row>
    <row r="25" spans="1:64" x14ac:dyDescent="0.2">
      <c r="A25" s="79" t="s">
        <v>142</v>
      </c>
      <c r="B25" s="79" t="s">
        <v>356</v>
      </c>
      <c r="C25" s="194" t="s">
        <v>511</v>
      </c>
      <c r="D25" s="195"/>
      <c r="E25" s="195"/>
      <c r="F25" s="79" t="s">
        <v>1047</v>
      </c>
      <c r="G25" s="80">
        <v>1</v>
      </c>
      <c r="H25" s="80">
        <v>0</v>
      </c>
      <c r="I25" s="80">
        <f>G25*AO25</f>
        <v>0</v>
      </c>
      <c r="J25" s="80">
        <f>G25*AP25</f>
        <v>0</v>
      </c>
      <c r="K25" s="80">
        <f>G25*H25</f>
        <v>0</v>
      </c>
      <c r="L25" s="80">
        <f>G25*25</f>
        <v>25</v>
      </c>
      <c r="M25" s="94" t="s">
        <v>1066</v>
      </c>
      <c r="N25" s="32"/>
      <c r="Z25" s="11">
        <f>IF(AQ25="5",BJ25,0)</f>
        <v>0</v>
      </c>
      <c r="AB25" s="11">
        <f>IF(AQ25="1",BH25,0)</f>
        <v>0</v>
      </c>
      <c r="AC25" s="11">
        <f>IF(AQ25="1",BI25,0)</f>
        <v>0</v>
      </c>
      <c r="AD25" s="11">
        <f>IF(AQ25="7",BH25,0)</f>
        <v>0</v>
      </c>
      <c r="AE25" s="11">
        <f>IF(AQ25="7",BI25,0)</f>
        <v>0</v>
      </c>
      <c r="AF25" s="11">
        <f>IF(AQ25="2",BH25,0)</f>
        <v>0</v>
      </c>
      <c r="AG25" s="11">
        <f>IF(AQ25="2",BI25,0)</f>
        <v>0</v>
      </c>
      <c r="AH25" s="11">
        <f>IF(AQ25="0",BJ25,0)</f>
        <v>0</v>
      </c>
      <c r="AI25" s="26" t="s">
        <v>76</v>
      </c>
      <c r="AJ25" s="20">
        <f>IF(AN25=0,K25,0)</f>
        <v>0</v>
      </c>
      <c r="AK25" s="20">
        <f>IF(AN25=15,K25,0)</f>
        <v>0</v>
      </c>
      <c r="AL25" s="20">
        <f>IF(AN25=21,K25,0)</f>
        <v>0</v>
      </c>
      <c r="AN25" s="11">
        <v>21</v>
      </c>
      <c r="AO25" s="11">
        <f>H25*0.555161987041037</f>
        <v>0</v>
      </c>
      <c r="AP25" s="11">
        <f>H25*(1-0.555161987041037)</f>
        <v>0</v>
      </c>
      <c r="AQ25" s="27" t="s">
        <v>138</v>
      </c>
      <c r="AV25" s="11">
        <f>AW25+AX25</f>
        <v>0</v>
      </c>
      <c r="AW25" s="11">
        <f>G25*AO25</f>
        <v>0</v>
      </c>
      <c r="AX25" s="11">
        <f>G25*AP25</f>
        <v>0</v>
      </c>
      <c r="AY25" s="29" t="s">
        <v>1077</v>
      </c>
      <c r="AZ25" s="29" t="s">
        <v>1103</v>
      </c>
      <c r="BA25" s="26" t="s">
        <v>1128</v>
      </c>
      <c r="BB25" s="26" t="s">
        <v>1134</v>
      </c>
      <c r="BC25" s="11">
        <f>AW25+AX25</f>
        <v>0</v>
      </c>
      <c r="BD25" s="11">
        <f>H25/(100-BE25)*100</f>
        <v>0</v>
      </c>
      <c r="BE25" s="11">
        <v>0</v>
      </c>
      <c r="BF25" s="11">
        <f>L25</f>
        <v>25</v>
      </c>
      <c r="BH25" s="20">
        <f>G25*AO25</f>
        <v>0</v>
      </c>
      <c r="BI25" s="20">
        <f>G25*AP25</f>
        <v>0</v>
      </c>
      <c r="BJ25" s="20">
        <f>G25*H25</f>
        <v>0</v>
      </c>
      <c r="BK25" s="20" t="s">
        <v>1164</v>
      </c>
      <c r="BL25" s="11">
        <v>31</v>
      </c>
    </row>
    <row r="26" spans="1:64" x14ac:dyDescent="0.2">
      <c r="A26" s="35"/>
      <c r="B26" s="86" t="s">
        <v>354</v>
      </c>
      <c r="C26" s="196" t="s">
        <v>506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32"/>
    </row>
    <row r="27" spans="1:64" x14ac:dyDescent="0.2">
      <c r="A27" s="35"/>
      <c r="B27" s="36"/>
      <c r="C27" s="81" t="s">
        <v>138</v>
      </c>
      <c r="D27" s="36"/>
      <c r="E27" s="82" t="s">
        <v>903</v>
      </c>
      <c r="F27" s="36"/>
      <c r="G27" s="83">
        <v>1</v>
      </c>
      <c r="H27" s="36"/>
      <c r="I27" s="36"/>
      <c r="J27" s="36"/>
      <c r="K27" s="36"/>
      <c r="L27" s="36"/>
      <c r="M27" s="35"/>
      <c r="N27" s="32"/>
    </row>
    <row r="28" spans="1:64" x14ac:dyDescent="0.2">
      <c r="A28" s="77"/>
      <c r="B28" s="76" t="s">
        <v>85</v>
      </c>
      <c r="C28" s="204" t="s">
        <v>111</v>
      </c>
      <c r="D28" s="205"/>
      <c r="E28" s="205"/>
      <c r="F28" s="77" t="s">
        <v>60</v>
      </c>
      <c r="G28" s="77" t="s">
        <v>60</v>
      </c>
      <c r="H28" s="77" t="s">
        <v>60</v>
      </c>
      <c r="I28" s="78">
        <f>SUM(I29:I52)</f>
        <v>0</v>
      </c>
      <c r="J28" s="78">
        <f>SUM(J29:J52)</f>
        <v>0</v>
      </c>
      <c r="K28" s="78">
        <f>SUM(K29:K52)</f>
        <v>0</v>
      </c>
      <c r="L28" s="78">
        <f>SUM(L29:L52)</f>
        <v>4184.17</v>
      </c>
      <c r="M28" s="93"/>
      <c r="N28" s="32"/>
      <c r="AI28" s="26" t="s">
        <v>76</v>
      </c>
      <c r="AS28" s="31">
        <f>SUM(AJ29:AJ52)</f>
        <v>0</v>
      </c>
      <c r="AT28" s="31">
        <f>SUM(AK29:AK52)</f>
        <v>0</v>
      </c>
      <c r="AU28" s="31">
        <f>SUM(AL29:AL52)</f>
        <v>0</v>
      </c>
    </row>
    <row r="29" spans="1:64" x14ac:dyDescent="0.2">
      <c r="A29" s="79" t="s">
        <v>143</v>
      </c>
      <c r="B29" s="79" t="s">
        <v>357</v>
      </c>
      <c r="C29" s="194" t="s">
        <v>512</v>
      </c>
      <c r="D29" s="195"/>
      <c r="E29" s="195"/>
      <c r="F29" s="79" t="s">
        <v>1050</v>
      </c>
      <c r="G29" s="80">
        <v>85.227500000000006</v>
      </c>
      <c r="H29" s="80">
        <v>0</v>
      </c>
      <c r="I29" s="80">
        <f>G29*AO29</f>
        <v>0</v>
      </c>
      <c r="J29" s="80">
        <f>G29*AP29</f>
        <v>0</v>
      </c>
      <c r="K29" s="80">
        <f>G29*H29</f>
        <v>0</v>
      </c>
      <c r="L29" s="80">
        <f>G29*29</f>
        <v>2471.5975000000003</v>
      </c>
      <c r="M29" s="94" t="s">
        <v>1066</v>
      </c>
      <c r="N29" s="32"/>
      <c r="Z29" s="11">
        <f>IF(AQ29="5",BJ29,0)</f>
        <v>0</v>
      </c>
      <c r="AB29" s="11">
        <f>IF(AQ29="1",BH29,0)</f>
        <v>0</v>
      </c>
      <c r="AC29" s="11">
        <f>IF(AQ29="1",BI29,0)</f>
        <v>0</v>
      </c>
      <c r="AD29" s="11">
        <f>IF(AQ29="7",BH29,0)</f>
        <v>0</v>
      </c>
      <c r="AE29" s="11">
        <f>IF(AQ29="7",BI29,0)</f>
        <v>0</v>
      </c>
      <c r="AF29" s="11">
        <f>IF(AQ29="2",BH29,0)</f>
        <v>0</v>
      </c>
      <c r="AG29" s="11">
        <f>IF(AQ29="2",BI29,0)</f>
        <v>0</v>
      </c>
      <c r="AH29" s="11">
        <f>IF(AQ29="0",BJ29,0)</f>
        <v>0</v>
      </c>
      <c r="AI29" s="26" t="s">
        <v>76</v>
      </c>
      <c r="AJ29" s="20">
        <f>IF(AN29=0,K29,0)</f>
        <v>0</v>
      </c>
      <c r="AK29" s="20">
        <f>IF(AN29=15,K29,0)</f>
        <v>0</v>
      </c>
      <c r="AL29" s="20">
        <f>IF(AN29=21,K29,0)</f>
        <v>0</v>
      </c>
      <c r="AN29" s="11">
        <v>21</v>
      </c>
      <c r="AO29" s="11">
        <f>H29*0.391408948924443</f>
        <v>0</v>
      </c>
      <c r="AP29" s="11">
        <f>H29*(1-0.391408948924443)</f>
        <v>0</v>
      </c>
      <c r="AQ29" s="27" t="s">
        <v>138</v>
      </c>
      <c r="AV29" s="11">
        <f>AW29+AX29</f>
        <v>0</v>
      </c>
      <c r="AW29" s="11">
        <f>G29*AO29</f>
        <v>0</v>
      </c>
      <c r="AX29" s="11">
        <f>G29*AP29</f>
        <v>0</v>
      </c>
      <c r="AY29" s="29" t="s">
        <v>1078</v>
      </c>
      <c r="AZ29" s="29" t="s">
        <v>1103</v>
      </c>
      <c r="BA29" s="26" t="s">
        <v>1128</v>
      </c>
      <c r="BB29" s="26" t="s">
        <v>1135</v>
      </c>
      <c r="BC29" s="11">
        <f>AW29+AX29</f>
        <v>0</v>
      </c>
      <c r="BD29" s="11">
        <f>H29/(100-BE29)*100</f>
        <v>0</v>
      </c>
      <c r="BE29" s="11">
        <v>0</v>
      </c>
      <c r="BF29" s="11">
        <f>L29</f>
        <v>2471.5975000000003</v>
      </c>
      <c r="BH29" s="20">
        <f>G29*AO29</f>
        <v>0</v>
      </c>
      <c r="BI29" s="20">
        <f>G29*AP29</f>
        <v>0</v>
      </c>
      <c r="BJ29" s="20">
        <f>G29*H29</f>
        <v>0</v>
      </c>
      <c r="BK29" s="20" t="s">
        <v>1164</v>
      </c>
      <c r="BL29" s="11">
        <v>34</v>
      </c>
    </row>
    <row r="30" spans="1:64" ht="25.7" customHeight="1" x14ac:dyDescent="0.2">
      <c r="A30" s="35"/>
      <c r="B30" s="86" t="s">
        <v>354</v>
      </c>
      <c r="C30" s="196" t="s">
        <v>513</v>
      </c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32"/>
    </row>
    <row r="31" spans="1:64" x14ac:dyDescent="0.2">
      <c r="A31" s="35"/>
      <c r="B31" s="36"/>
      <c r="C31" s="81" t="s">
        <v>514</v>
      </c>
      <c r="D31" s="36"/>
      <c r="E31" s="82" t="s">
        <v>904</v>
      </c>
      <c r="F31" s="36"/>
      <c r="G31" s="83">
        <v>45.45</v>
      </c>
      <c r="H31" s="36"/>
      <c r="I31" s="36"/>
      <c r="J31" s="36"/>
      <c r="K31" s="36"/>
      <c r="L31" s="36"/>
      <c r="M31" s="35"/>
      <c r="N31" s="32"/>
    </row>
    <row r="32" spans="1:64" x14ac:dyDescent="0.2">
      <c r="A32" s="35"/>
      <c r="B32" s="36"/>
      <c r="C32" s="81" t="s">
        <v>515</v>
      </c>
      <c r="D32" s="36"/>
      <c r="E32" s="82" t="s">
        <v>905</v>
      </c>
      <c r="F32" s="36"/>
      <c r="G32" s="83">
        <v>19.53</v>
      </c>
      <c r="H32" s="36"/>
      <c r="I32" s="36"/>
      <c r="J32" s="36"/>
      <c r="K32" s="36"/>
      <c r="L32" s="36"/>
      <c r="M32" s="35"/>
      <c r="N32" s="32"/>
    </row>
    <row r="33" spans="1:64" x14ac:dyDescent="0.2">
      <c r="A33" s="35"/>
      <c r="B33" s="36"/>
      <c r="C33" s="81" t="s">
        <v>516</v>
      </c>
      <c r="D33" s="36"/>
      <c r="E33" s="82" t="s">
        <v>906</v>
      </c>
      <c r="F33" s="36"/>
      <c r="G33" s="83">
        <v>7.56</v>
      </c>
      <c r="H33" s="36"/>
      <c r="I33" s="36"/>
      <c r="J33" s="36"/>
      <c r="K33" s="36"/>
      <c r="L33" s="36"/>
      <c r="M33" s="35"/>
      <c r="N33" s="32"/>
    </row>
    <row r="34" spans="1:64" x14ac:dyDescent="0.2">
      <c r="A34" s="35"/>
      <c r="B34" s="36"/>
      <c r="C34" s="81" t="s">
        <v>517</v>
      </c>
      <c r="D34" s="36"/>
      <c r="E34" s="82" t="s">
        <v>907</v>
      </c>
      <c r="F34" s="36"/>
      <c r="G34" s="83">
        <v>12.6875</v>
      </c>
      <c r="H34" s="36"/>
      <c r="I34" s="36"/>
      <c r="J34" s="36"/>
      <c r="K34" s="36"/>
      <c r="L34" s="36"/>
      <c r="M34" s="35"/>
      <c r="N34" s="32"/>
    </row>
    <row r="35" spans="1:64" x14ac:dyDescent="0.2">
      <c r="A35" s="79" t="s">
        <v>144</v>
      </c>
      <c r="B35" s="79" t="s">
        <v>358</v>
      </c>
      <c r="C35" s="194" t="s">
        <v>518</v>
      </c>
      <c r="D35" s="195"/>
      <c r="E35" s="195"/>
      <c r="F35" s="79" t="s">
        <v>1050</v>
      </c>
      <c r="G35" s="80">
        <v>24.855</v>
      </c>
      <c r="H35" s="80">
        <v>0</v>
      </c>
      <c r="I35" s="80">
        <f>G35*AO35</f>
        <v>0</v>
      </c>
      <c r="J35" s="80">
        <f>G35*AP35</f>
        <v>0</v>
      </c>
      <c r="K35" s="80">
        <f>G35*H35</f>
        <v>0</v>
      </c>
      <c r="L35" s="80">
        <f>G35*35</f>
        <v>869.92500000000007</v>
      </c>
      <c r="M35" s="94" t="s">
        <v>1066</v>
      </c>
      <c r="N35" s="32"/>
      <c r="Z35" s="11">
        <f>IF(AQ35="5",BJ35,0)</f>
        <v>0</v>
      </c>
      <c r="AB35" s="11">
        <f>IF(AQ35="1",BH35,0)</f>
        <v>0</v>
      </c>
      <c r="AC35" s="11">
        <f>IF(AQ35="1",BI35,0)</f>
        <v>0</v>
      </c>
      <c r="AD35" s="11">
        <f>IF(AQ35="7",BH35,0)</f>
        <v>0</v>
      </c>
      <c r="AE35" s="11">
        <f>IF(AQ35="7",BI35,0)</f>
        <v>0</v>
      </c>
      <c r="AF35" s="11">
        <f>IF(AQ35="2",BH35,0)</f>
        <v>0</v>
      </c>
      <c r="AG35" s="11">
        <f>IF(AQ35="2",BI35,0)</f>
        <v>0</v>
      </c>
      <c r="AH35" s="11">
        <f>IF(AQ35="0",BJ35,0)</f>
        <v>0</v>
      </c>
      <c r="AI35" s="26" t="s">
        <v>76</v>
      </c>
      <c r="AJ35" s="20">
        <f>IF(AN35=0,K35,0)</f>
        <v>0</v>
      </c>
      <c r="AK35" s="20">
        <f>IF(AN35=15,K35,0)</f>
        <v>0</v>
      </c>
      <c r="AL35" s="20">
        <f>IF(AN35=21,K35,0)</f>
        <v>0</v>
      </c>
      <c r="AN35" s="11">
        <v>21</v>
      </c>
      <c r="AO35" s="11">
        <f>H35*0.479271977785628</f>
        <v>0</v>
      </c>
      <c r="AP35" s="11">
        <f>H35*(1-0.479271977785628)</f>
        <v>0</v>
      </c>
      <c r="AQ35" s="27" t="s">
        <v>138</v>
      </c>
      <c r="AV35" s="11">
        <f>AW35+AX35</f>
        <v>0</v>
      </c>
      <c r="AW35" s="11">
        <f>G35*AO35</f>
        <v>0</v>
      </c>
      <c r="AX35" s="11">
        <f>G35*AP35</f>
        <v>0</v>
      </c>
      <c r="AY35" s="29" t="s">
        <v>1078</v>
      </c>
      <c r="AZ35" s="29" t="s">
        <v>1103</v>
      </c>
      <c r="BA35" s="26" t="s">
        <v>1128</v>
      </c>
      <c r="BB35" s="26" t="s">
        <v>1135</v>
      </c>
      <c r="BC35" s="11">
        <f>AW35+AX35</f>
        <v>0</v>
      </c>
      <c r="BD35" s="11">
        <f>H35/(100-BE35)*100</f>
        <v>0</v>
      </c>
      <c r="BE35" s="11">
        <v>0</v>
      </c>
      <c r="BF35" s="11">
        <f>L35</f>
        <v>869.92500000000007</v>
      </c>
      <c r="BH35" s="20">
        <f>G35*AO35</f>
        <v>0</v>
      </c>
      <c r="BI35" s="20">
        <f>G35*AP35</f>
        <v>0</v>
      </c>
      <c r="BJ35" s="20">
        <f>G35*H35</f>
        <v>0</v>
      </c>
      <c r="BK35" s="20" t="s">
        <v>1164</v>
      </c>
      <c r="BL35" s="11">
        <v>34</v>
      </c>
    </row>
    <row r="36" spans="1:64" x14ac:dyDescent="0.2">
      <c r="A36" s="35"/>
      <c r="B36" s="86" t="s">
        <v>354</v>
      </c>
      <c r="C36" s="196" t="s">
        <v>519</v>
      </c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32"/>
    </row>
    <row r="37" spans="1:64" x14ac:dyDescent="0.2">
      <c r="A37" s="35"/>
      <c r="B37" s="36"/>
      <c r="C37" s="81" t="s">
        <v>520</v>
      </c>
      <c r="D37" s="36"/>
      <c r="E37" s="82" t="s">
        <v>905</v>
      </c>
      <c r="F37" s="36"/>
      <c r="G37" s="83">
        <v>17.824999999999999</v>
      </c>
      <c r="H37" s="36"/>
      <c r="I37" s="36"/>
      <c r="J37" s="36"/>
      <c r="K37" s="36"/>
      <c r="L37" s="36"/>
      <c r="M37" s="35"/>
      <c r="N37" s="32"/>
    </row>
    <row r="38" spans="1:64" x14ac:dyDescent="0.2">
      <c r="A38" s="35"/>
      <c r="B38" s="36"/>
      <c r="C38" s="81" t="s">
        <v>521</v>
      </c>
      <c r="D38" s="36"/>
      <c r="E38" s="82" t="s">
        <v>908</v>
      </c>
      <c r="F38" s="36"/>
      <c r="G38" s="83">
        <v>10.23</v>
      </c>
      <c r="H38" s="36"/>
      <c r="I38" s="36"/>
      <c r="J38" s="36"/>
      <c r="K38" s="36"/>
      <c r="L38" s="36"/>
      <c r="M38" s="35"/>
      <c r="N38" s="32"/>
    </row>
    <row r="39" spans="1:64" x14ac:dyDescent="0.2">
      <c r="A39" s="35"/>
      <c r="B39" s="36"/>
      <c r="C39" s="81" t="s">
        <v>522</v>
      </c>
      <c r="D39" s="36"/>
      <c r="E39" s="82" t="s">
        <v>909</v>
      </c>
      <c r="F39" s="36"/>
      <c r="G39" s="83">
        <v>-3.2</v>
      </c>
      <c r="H39" s="36"/>
      <c r="I39" s="36"/>
      <c r="J39" s="36"/>
      <c r="K39" s="36"/>
      <c r="L39" s="36"/>
      <c r="M39" s="35"/>
      <c r="N39" s="32"/>
    </row>
    <row r="40" spans="1:64" x14ac:dyDescent="0.2">
      <c r="A40" s="79" t="s">
        <v>145</v>
      </c>
      <c r="B40" s="79" t="s">
        <v>358</v>
      </c>
      <c r="C40" s="194" t="s">
        <v>523</v>
      </c>
      <c r="D40" s="195"/>
      <c r="E40" s="195"/>
      <c r="F40" s="79" t="s">
        <v>1050</v>
      </c>
      <c r="G40" s="80">
        <v>3.6</v>
      </c>
      <c r="H40" s="80">
        <v>0</v>
      </c>
      <c r="I40" s="80">
        <f>G40*AO40</f>
        <v>0</v>
      </c>
      <c r="J40" s="80">
        <f>G40*AP40</f>
        <v>0</v>
      </c>
      <c r="K40" s="80">
        <f>G40*H40</f>
        <v>0</v>
      </c>
      <c r="L40" s="80">
        <f>G40*40</f>
        <v>144</v>
      </c>
      <c r="M40" s="94" t="s">
        <v>1066</v>
      </c>
      <c r="N40" s="32"/>
      <c r="Z40" s="11">
        <f>IF(AQ40="5",BJ40,0)</f>
        <v>0</v>
      </c>
      <c r="AB40" s="11">
        <f>IF(AQ40="1",BH40,0)</f>
        <v>0</v>
      </c>
      <c r="AC40" s="11">
        <f>IF(AQ40="1",BI40,0)</f>
        <v>0</v>
      </c>
      <c r="AD40" s="11">
        <f>IF(AQ40="7",BH40,0)</f>
        <v>0</v>
      </c>
      <c r="AE40" s="11">
        <f>IF(AQ40="7",BI40,0)</f>
        <v>0</v>
      </c>
      <c r="AF40" s="11">
        <f>IF(AQ40="2",BH40,0)</f>
        <v>0</v>
      </c>
      <c r="AG40" s="11">
        <f>IF(AQ40="2",BI40,0)</f>
        <v>0</v>
      </c>
      <c r="AH40" s="11">
        <f>IF(AQ40="0",BJ40,0)</f>
        <v>0</v>
      </c>
      <c r="AI40" s="26" t="s">
        <v>76</v>
      </c>
      <c r="AJ40" s="20">
        <f>IF(AN40=0,K40,0)</f>
        <v>0</v>
      </c>
      <c r="AK40" s="20">
        <f>IF(AN40=15,K40,0)</f>
        <v>0</v>
      </c>
      <c r="AL40" s="20">
        <f>IF(AN40=21,K40,0)</f>
        <v>0</v>
      </c>
      <c r="AN40" s="11">
        <v>21</v>
      </c>
      <c r="AO40" s="11">
        <f>H40*0.479272065514104</f>
        <v>0</v>
      </c>
      <c r="AP40" s="11">
        <f>H40*(1-0.479272065514104)</f>
        <v>0</v>
      </c>
      <c r="AQ40" s="27" t="s">
        <v>138</v>
      </c>
      <c r="AV40" s="11">
        <f>AW40+AX40</f>
        <v>0</v>
      </c>
      <c r="AW40" s="11">
        <f>G40*AO40</f>
        <v>0</v>
      </c>
      <c r="AX40" s="11">
        <f>G40*AP40</f>
        <v>0</v>
      </c>
      <c r="AY40" s="29" t="s">
        <v>1078</v>
      </c>
      <c r="AZ40" s="29" t="s">
        <v>1103</v>
      </c>
      <c r="BA40" s="26" t="s">
        <v>1128</v>
      </c>
      <c r="BB40" s="26" t="s">
        <v>1135</v>
      </c>
      <c r="BC40" s="11">
        <f>AW40+AX40</f>
        <v>0</v>
      </c>
      <c r="BD40" s="11">
        <f>H40/(100-BE40)*100</f>
        <v>0</v>
      </c>
      <c r="BE40" s="11">
        <v>0</v>
      </c>
      <c r="BF40" s="11">
        <f>L40</f>
        <v>144</v>
      </c>
      <c r="BH40" s="20">
        <f>G40*AO40</f>
        <v>0</v>
      </c>
      <c r="BI40" s="20">
        <f>G40*AP40</f>
        <v>0</v>
      </c>
      <c r="BJ40" s="20">
        <f>G40*H40</f>
        <v>0</v>
      </c>
      <c r="BK40" s="20" t="s">
        <v>1164</v>
      </c>
      <c r="BL40" s="11">
        <v>34</v>
      </c>
    </row>
    <row r="41" spans="1:64" x14ac:dyDescent="0.2">
      <c r="A41" s="35"/>
      <c r="B41" s="86" t="s">
        <v>354</v>
      </c>
      <c r="C41" s="196" t="s">
        <v>519</v>
      </c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32"/>
    </row>
    <row r="42" spans="1:64" x14ac:dyDescent="0.2">
      <c r="A42" s="35"/>
      <c r="B42" s="36"/>
      <c r="C42" s="81" t="s">
        <v>524</v>
      </c>
      <c r="D42" s="36"/>
      <c r="E42" s="82" t="s">
        <v>910</v>
      </c>
      <c r="F42" s="36"/>
      <c r="G42" s="83">
        <v>3.6</v>
      </c>
      <c r="H42" s="36"/>
      <c r="I42" s="36"/>
      <c r="J42" s="36"/>
      <c r="K42" s="36"/>
      <c r="L42" s="36"/>
      <c r="M42" s="35"/>
      <c r="N42" s="32"/>
    </row>
    <row r="43" spans="1:64" x14ac:dyDescent="0.2">
      <c r="A43" s="79" t="s">
        <v>146</v>
      </c>
      <c r="B43" s="79" t="s">
        <v>359</v>
      </c>
      <c r="C43" s="194" t="s">
        <v>525</v>
      </c>
      <c r="D43" s="195"/>
      <c r="E43" s="195"/>
      <c r="F43" s="79" t="s">
        <v>1050</v>
      </c>
      <c r="G43" s="80">
        <v>3.3824999999999998</v>
      </c>
      <c r="H43" s="80">
        <v>0</v>
      </c>
      <c r="I43" s="80">
        <f>G43*AO43</f>
        <v>0</v>
      </c>
      <c r="J43" s="80">
        <f>G43*AP43</f>
        <v>0</v>
      </c>
      <c r="K43" s="80">
        <f>G43*H43</f>
        <v>0</v>
      </c>
      <c r="L43" s="80">
        <f>G43*43</f>
        <v>145.44749999999999</v>
      </c>
      <c r="M43" s="94" t="s">
        <v>1066</v>
      </c>
      <c r="N43" s="32"/>
      <c r="Z43" s="11">
        <f>IF(AQ43="5",BJ43,0)</f>
        <v>0</v>
      </c>
      <c r="AB43" s="11">
        <f>IF(AQ43="1",BH43,0)</f>
        <v>0</v>
      </c>
      <c r="AC43" s="11">
        <f>IF(AQ43="1",BI43,0)</f>
        <v>0</v>
      </c>
      <c r="AD43" s="11">
        <f>IF(AQ43="7",BH43,0)</f>
        <v>0</v>
      </c>
      <c r="AE43" s="11">
        <f>IF(AQ43="7",BI43,0)</f>
        <v>0</v>
      </c>
      <c r="AF43" s="11">
        <f>IF(AQ43="2",BH43,0)</f>
        <v>0</v>
      </c>
      <c r="AG43" s="11">
        <f>IF(AQ43="2",BI43,0)</f>
        <v>0</v>
      </c>
      <c r="AH43" s="11">
        <f>IF(AQ43="0",BJ43,0)</f>
        <v>0</v>
      </c>
      <c r="AI43" s="26" t="s">
        <v>76</v>
      </c>
      <c r="AJ43" s="20">
        <f>IF(AN43=0,K43,0)</f>
        <v>0</v>
      </c>
      <c r="AK43" s="20">
        <f>IF(AN43=15,K43,0)</f>
        <v>0</v>
      </c>
      <c r="AL43" s="20">
        <f>IF(AN43=21,K43,0)</f>
        <v>0</v>
      </c>
      <c r="AN43" s="11">
        <v>21</v>
      </c>
      <c r="AO43" s="11">
        <f>H43*0.661402051696093</f>
        <v>0</v>
      </c>
      <c r="AP43" s="11">
        <f>H43*(1-0.661402051696093)</f>
        <v>0</v>
      </c>
      <c r="AQ43" s="27" t="s">
        <v>138</v>
      </c>
      <c r="AV43" s="11">
        <f>AW43+AX43</f>
        <v>0</v>
      </c>
      <c r="AW43" s="11">
        <f>G43*AO43</f>
        <v>0</v>
      </c>
      <c r="AX43" s="11">
        <f>G43*AP43</f>
        <v>0</v>
      </c>
      <c r="AY43" s="29" t="s">
        <v>1078</v>
      </c>
      <c r="AZ43" s="29" t="s">
        <v>1103</v>
      </c>
      <c r="BA43" s="26" t="s">
        <v>1128</v>
      </c>
      <c r="BB43" s="26" t="s">
        <v>1135</v>
      </c>
      <c r="BC43" s="11">
        <f>AW43+AX43</f>
        <v>0</v>
      </c>
      <c r="BD43" s="11">
        <f>H43/(100-BE43)*100</f>
        <v>0</v>
      </c>
      <c r="BE43" s="11">
        <v>0</v>
      </c>
      <c r="BF43" s="11">
        <f>L43</f>
        <v>145.44749999999999</v>
      </c>
      <c r="BH43" s="20">
        <f>G43*AO43</f>
        <v>0</v>
      </c>
      <c r="BI43" s="20">
        <f>G43*AP43</f>
        <v>0</v>
      </c>
      <c r="BJ43" s="20">
        <f>G43*H43</f>
        <v>0</v>
      </c>
      <c r="BK43" s="20" t="s">
        <v>1164</v>
      </c>
      <c r="BL43" s="11">
        <v>34</v>
      </c>
    </row>
    <row r="44" spans="1:64" x14ac:dyDescent="0.2">
      <c r="A44" s="35"/>
      <c r="B44" s="86" t="s">
        <v>354</v>
      </c>
      <c r="C44" s="196" t="s">
        <v>526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32"/>
    </row>
    <row r="45" spans="1:64" x14ac:dyDescent="0.2">
      <c r="A45" s="35"/>
      <c r="B45" s="36"/>
      <c r="C45" s="81" t="s">
        <v>527</v>
      </c>
      <c r="D45" s="36"/>
      <c r="E45" s="82" t="s">
        <v>911</v>
      </c>
      <c r="F45" s="36"/>
      <c r="G45" s="83">
        <v>3.3824999999999998</v>
      </c>
      <c r="H45" s="36"/>
      <c r="I45" s="36"/>
      <c r="J45" s="36"/>
      <c r="K45" s="36"/>
      <c r="L45" s="36"/>
      <c r="M45" s="35"/>
      <c r="N45" s="32"/>
    </row>
    <row r="46" spans="1:64" x14ac:dyDescent="0.2">
      <c r="A46" s="79" t="s">
        <v>147</v>
      </c>
      <c r="B46" s="79" t="s">
        <v>360</v>
      </c>
      <c r="C46" s="194" t="s">
        <v>528</v>
      </c>
      <c r="D46" s="195"/>
      <c r="E46" s="195"/>
      <c r="F46" s="79" t="s">
        <v>1051</v>
      </c>
      <c r="G46" s="80">
        <v>2.1</v>
      </c>
      <c r="H46" s="80">
        <v>0</v>
      </c>
      <c r="I46" s="80">
        <f>G46*AO46</f>
        <v>0</v>
      </c>
      <c r="J46" s="80">
        <f>G46*AP46</f>
        <v>0</v>
      </c>
      <c r="K46" s="80">
        <f>G46*H46</f>
        <v>0</v>
      </c>
      <c r="L46" s="80">
        <f>G46*46</f>
        <v>96.600000000000009</v>
      </c>
      <c r="M46" s="94" t="s">
        <v>1066</v>
      </c>
      <c r="N46" s="32"/>
      <c r="Z46" s="11">
        <f>IF(AQ46="5",BJ46,0)</f>
        <v>0</v>
      </c>
      <c r="AB46" s="11">
        <f>IF(AQ46="1",BH46,0)</f>
        <v>0</v>
      </c>
      <c r="AC46" s="11">
        <f>IF(AQ46="1",BI46,0)</f>
        <v>0</v>
      </c>
      <c r="AD46" s="11">
        <f>IF(AQ46="7",BH46,0)</f>
        <v>0</v>
      </c>
      <c r="AE46" s="11">
        <f>IF(AQ46="7",BI46,0)</f>
        <v>0</v>
      </c>
      <c r="AF46" s="11">
        <f>IF(AQ46="2",BH46,0)</f>
        <v>0</v>
      </c>
      <c r="AG46" s="11">
        <f>IF(AQ46="2",BI46,0)</f>
        <v>0</v>
      </c>
      <c r="AH46" s="11">
        <f>IF(AQ46="0",BJ46,0)</f>
        <v>0</v>
      </c>
      <c r="AI46" s="26" t="s">
        <v>76</v>
      </c>
      <c r="AJ46" s="20">
        <f>IF(AN46=0,K46,0)</f>
        <v>0</v>
      </c>
      <c r="AK46" s="20">
        <f>IF(AN46=15,K46,0)</f>
        <v>0</v>
      </c>
      <c r="AL46" s="20">
        <f>IF(AN46=21,K46,0)</f>
        <v>0</v>
      </c>
      <c r="AN46" s="11">
        <v>21</v>
      </c>
      <c r="AO46" s="11">
        <f>H46*0.184300934473793</f>
        <v>0</v>
      </c>
      <c r="AP46" s="11">
        <f>H46*(1-0.184300934473793)</f>
        <v>0</v>
      </c>
      <c r="AQ46" s="27" t="s">
        <v>138</v>
      </c>
      <c r="AV46" s="11">
        <f>AW46+AX46</f>
        <v>0</v>
      </c>
      <c r="AW46" s="11">
        <f>G46*AO46</f>
        <v>0</v>
      </c>
      <c r="AX46" s="11">
        <f>G46*AP46</f>
        <v>0</v>
      </c>
      <c r="AY46" s="29" t="s">
        <v>1078</v>
      </c>
      <c r="AZ46" s="29" t="s">
        <v>1103</v>
      </c>
      <c r="BA46" s="26" t="s">
        <v>1128</v>
      </c>
      <c r="BB46" s="26" t="s">
        <v>1135</v>
      </c>
      <c r="BC46" s="11">
        <f>AW46+AX46</f>
        <v>0</v>
      </c>
      <c r="BD46" s="11">
        <f>H46/(100-BE46)*100</f>
        <v>0</v>
      </c>
      <c r="BE46" s="11">
        <v>0</v>
      </c>
      <c r="BF46" s="11">
        <f>L46</f>
        <v>96.600000000000009</v>
      </c>
      <c r="BH46" s="20">
        <f>G46*AO46</f>
        <v>0</v>
      </c>
      <c r="BI46" s="20">
        <f>G46*AP46</f>
        <v>0</v>
      </c>
      <c r="BJ46" s="20">
        <f>G46*H46</f>
        <v>0</v>
      </c>
      <c r="BK46" s="20" t="s">
        <v>1164</v>
      </c>
      <c r="BL46" s="11">
        <v>34</v>
      </c>
    </row>
    <row r="47" spans="1:64" x14ac:dyDescent="0.2">
      <c r="A47" s="35"/>
      <c r="B47" s="86" t="s">
        <v>354</v>
      </c>
      <c r="C47" s="196" t="s">
        <v>529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32"/>
    </row>
    <row r="48" spans="1:64" x14ac:dyDescent="0.2">
      <c r="A48" s="35"/>
      <c r="B48" s="36"/>
      <c r="C48" s="81" t="s">
        <v>530</v>
      </c>
      <c r="D48" s="36"/>
      <c r="E48" s="82" t="s">
        <v>912</v>
      </c>
      <c r="F48" s="36"/>
      <c r="G48" s="83">
        <v>2.1</v>
      </c>
      <c r="H48" s="36"/>
      <c r="I48" s="36"/>
      <c r="J48" s="36"/>
      <c r="K48" s="36"/>
      <c r="L48" s="36"/>
      <c r="M48" s="35"/>
      <c r="N48" s="32"/>
    </row>
    <row r="49" spans="1:64" x14ac:dyDescent="0.2">
      <c r="A49" s="79" t="s">
        <v>148</v>
      </c>
      <c r="B49" s="79" t="s">
        <v>361</v>
      </c>
      <c r="C49" s="194" t="s">
        <v>531</v>
      </c>
      <c r="D49" s="195"/>
      <c r="E49" s="195"/>
      <c r="F49" s="79" t="s">
        <v>1051</v>
      </c>
      <c r="G49" s="80">
        <v>5.0999999999999996</v>
      </c>
      <c r="H49" s="80">
        <v>0</v>
      </c>
      <c r="I49" s="80">
        <f>G49*AO49</f>
        <v>0</v>
      </c>
      <c r="J49" s="80">
        <f>G49*AP49</f>
        <v>0</v>
      </c>
      <c r="K49" s="80">
        <f>G49*H49</f>
        <v>0</v>
      </c>
      <c r="L49" s="80">
        <f>G49*49</f>
        <v>249.89999999999998</v>
      </c>
      <c r="M49" s="94" t="s">
        <v>1066</v>
      </c>
      <c r="N49" s="32"/>
      <c r="Z49" s="11">
        <f>IF(AQ49="5",BJ49,0)</f>
        <v>0</v>
      </c>
      <c r="AB49" s="11">
        <f>IF(AQ49="1",BH49,0)</f>
        <v>0</v>
      </c>
      <c r="AC49" s="11">
        <f>IF(AQ49="1",BI49,0)</f>
        <v>0</v>
      </c>
      <c r="AD49" s="11">
        <f>IF(AQ49="7",BH49,0)</f>
        <v>0</v>
      </c>
      <c r="AE49" s="11">
        <f>IF(AQ49="7",BI49,0)</f>
        <v>0</v>
      </c>
      <c r="AF49" s="11">
        <f>IF(AQ49="2",BH49,0)</f>
        <v>0</v>
      </c>
      <c r="AG49" s="11">
        <f>IF(AQ49="2",BI49,0)</f>
        <v>0</v>
      </c>
      <c r="AH49" s="11">
        <f>IF(AQ49="0",BJ49,0)</f>
        <v>0</v>
      </c>
      <c r="AI49" s="26" t="s">
        <v>76</v>
      </c>
      <c r="AJ49" s="20">
        <f>IF(AN49=0,K49,0)</f>
        <v>0</v>
      </c>
      <c r="AK49" s="20">
        <f>IF(AN49=15,K49,0)</f>
        <v>0</v>
      </c>
      <c r="AL49" s="20">
        <f>IF(AN49=21,K49,0)</f>
        <v>0</v>
      </c>
      <c r="AN49" s="11">
        <v>21</v>
      </c>
      <c r="AO49" s="11">
        <f>H49*0.187191011235955</f>
        <v>0</v>
      </c>
      <c r="AP49" s="11">
        <f>H49*(1-0.187191011235955)</f>
        <v>0</v>
      </c>
      <c r="AQ49" s="27" t="s">
        <v>138</v>
      </c>
      <c r="AV49" s="11">
        <f>AW49+AX49</f>
        <v>0</v>
      </c>
      <c r="AW49" s="11">
        <f>G49*AO49</f>
        <v>0</v>
      </c>
      <c r="AX49" s="11">
        <f>G49*AP49</f>
        <v>0</v>
      </c>
      <c r="AY49" s="29" t="s">
        <v>1078</v>
      </c>
      <c r="AZ49" s="29" t="s">
        <v>1103</v>
      </c>
      <c r="BA49" s="26" t="s">
        <v>1128</v>
      </c>
      <c r="BB49" s="26" t="s">
        <v>1135</v>
      </c>
      <c r="BC49" s="11">
        <f>AW49+AX49</f>
        <v>0</v>
      </c>
      <c r="BD49" s="11">
        <f>H49/(100-BE49)*100</f>
        <v>0</v>
      </c>
      <c r="BE49" s="11">
        <v>0</v>
      </c>
      <c r="BF49" s="11">
        <f>L49</f>
        <v>249.89999999999998</v>
      </c>
      <c r="BH49" s="20">
        <f>G49*AO49</f>
        <v>0</v>
      </c>
      <c r="BI49" s="20">
        <f>G49*AP49</f>
        <v>0</v>
      </c>
      <c r="BJ49" s="20">
        <f>G49*H49</f>
        <v>0</v>
      </c>
      <c r="BK49" s="20" t="s">
        <v>1164</v>
      </c>
      <c r="BL49" s="11">
        <v>34</v>
      </c>
    </row>
    <row r="50" spans="1:64" x14ac:dyDescent="0.2">
      <c r="A50" s="35"/>
      <c r="B50" s="36"/>
      <c r="C50" s="81" t="s">
        <v>532</v>
      </c>
      <c r="D50" s="36"/>
      <c r="E50" s="82" t="s">
        <v>913</v>
      </c>
      <c r="F50" s="36"/>
      <c r="G50" s="83">
        <v>1.1000000000000001</v>
      </c>
      <c r="H50" s="36"/>
      <c r="I50" s="36"/>
      <c r="J50" s="36"/>
      <c r="K50" s="36"/>
      <c r="L50" s="36"/>
      <c r="M50" s="35"/>
      <c r="N50" s="32"/>
    </row>
    <row r="51" spans="1:64" x14ac:dyDescent="0.2">
      <c r="A51" s="35"/>
      <c r="B51" s="36"/>
      <c r="C51" s="81" t="s">
        <v>533</v>
      </c>
      <c r="D51" s="36"/>
      <c r="E51" s="82" t="s">
        <v>914</v>
      </c>
      <c r="F51" s="36"/>
      <c r="G51" s="83">
        <v>4</v>
      </c>
      <c r="H51" s="36"/>
      <c r="I51" s="36"/>
      <c r="J51" s="36"/>
      <c r="K51" s="36"/>
      <c r="L51" s="36"/>
      <c r="M51" s="35"/>
      <c r="N51" s="32"/>
    </row>
    <row r="52" spans="1:64" x14ac:dyDescent="0.2">
      <c r="A52" s="79" t="s">
        <v>149</v>
      </c>
      <c r="B52" s="79" t="s">
        <v>362</v>
      </c>
      <c r="C52" s="194" t="s">
        <v>534</v>
      </c>
      <c r="D52" s="195"/>
      <c r="E52" s="195"/>
      <c r="F52" s="79" t="s">
        <v>1051</v>
      </c>
      <c r="G52" s="80">
        <v>3.9750000000000001</v>
      </c>
      <c r="H52" s="80">
        <v>0</v>
      </c>
      <c r="I52" s="80">
        <f>G52*AO52</f>
        <v>0</v>
      </c>
      <c r="J52" s="80">
        <f>G52*AP52</f>
        <v>0</v>
      </c>
      <c r="K52" s="80">
        <f>G52*H52</f>
        <v>0</v>
      </c>
      <c r="L52" s="80">
        <f>G52*52</f>
        <v>206.70000000000002</v>
      </c>
      <c r="M52" s="94" t="s">
        <v>1066</v>
      </c>
      <c r="N52" s="32"/>
      <c r="Z52" s="11">
        <f>IF(AQ52="5",BJ52,0)</f>
        <v>0</v>
      </c>
      <c r="AB52" s="11">
        <f>IF(AQ52="1",BH52,0)</f>
        <v>0</v>
      </c>
      <c r="AC52" s="11">
        <f>IF(AQ52="1",BI52,0)</f>
        <v>0</v>
      </c>
      <c r="AD52" s="11">
        <f>IF(AQ52="7",BH52,0)</f>
        <v>0</v>
      </c>
      <c r="AE52" s="11">
        <f>IF(AQ52="7",BI52,0)</f>
        <v>0</v>
      </c>
      <c r="AF52" s="11">
        <f>IF(AQ52="2",BH52,0)</f>
        <v>0</v>
      </c>
      <c r="AG52" s="11">
        <f>IF(AQ52="2",BI52,0)</f>
        <v>0</v>
      </c>
      <c r="AH52" s="11">
        <f>IF(AQ52="0",BJ52,0)</f>
        <v>0</v>
      </c>
      <c r="AI52" s="26" t="s">
        <v>76</v>
      </c>
      <c r="AJ52" s="20">
        <f>IF(AN52=0,K52,0)</f>
        <v>0</v>
      </c>
      <c r="AK52" s="20">
        <f>IF(AN52=15,K52,0)</f>
        <v>0</v>
      </c>
      <c r="AL52" s="20">
        <f>IF(AN52=21,K52,0)</f>
        <v>0</v>
      </c>
      <c r="AN52" s="11">
        <v>21</v>
      </c>
      <c r="AO52" s="11">
        <f>H52*0.190615652173913</f>
        <v>0</v>
      </c>
      <c r="AP52" s="11">
        <f>H52*(1-0.190615652173913)</f>
        <v>0</v>
      </c>
      <c r="AQ52" s="27" t="s">
        <v>138</v>
      </c>
      <c r="AV52" s="11">
        <f>AW52+AX52</f>
        <v>0</v>
      </c>
      <c r="AW52" s="11">
        <f>G52*AO52</f>
        <v>0</v>
      </c>
      <c r="AX52" s="11">
        <f>G52*AP52</f>
        <v>0</v>
      </c>
      <c r="AY52" s="29" t="s">
        <v>1078</v>
      </c>
      <c r="AZ52" s="29" t="s">
        <v>1103</v>
      </c>
      <c r="BA52" s="26" t="s">
        <v>1128</v>
      </c>
      <c r="BB52" s="26" t="s">
        <v>1135</v>
      </c>
      <c r="BC52" s="11">
        <f>AW52+AX52</f>
        <v>0</v>
      </c>
      <c r="BD52" s="11">
        <f>H52/(100-BE52)*100</f>
        <v>0</v>
      </c>
      <c r="BE52" s="11">
        <v>0</v>
      </c>
      <c r="BF52" s="11">
        <f>L52</f>
        <v>206.70000000000002</v>
      </c>
      <c r="BH52" s="20">
        <f>G52*AO52</f>
        <v>0</v>
      </c>
      <c r="BI52" s="20">
        <f>G52*AP52</f>
        <v>0</v>
      </c>
      <c r="BJ52" s="20">
        <f>G52*H52</f>
        <v>0</v>
      </c>
      <c r="BK52" s="20" t="s">
        <v>1164</v>
      </c>
      <c r="BL52" s="11">
        <v>34</v>
      </c>
    </row>
    <row r="53" spans="1:64" x14ac:dyDescent="0.2">
      <c r="A53" s="35"/>
      <c r="B53" s="36"/>
      <c r="C53" s="81" t="s">
        <v>535</v>
      </c>
      <c r="D53" s="36"/>
      <c r="E53" s="82" t="s">
        <v>915</v>
      </c>
      <c r="F53" s="36"/>
      <c r="G53" s="83">
        <v>0.9</v>
      </c>
      <c r="H53" s="36"/>
      <c r="I53" s="36"/>
      <c r="J53" s="36"/>
      <c r="K53" s="36"/>
      <c r="L53" s="36"/>
      <c r="M53" s="35"/>
      <c r="N53" s="32"/>
    </row>
    <row r="54" spans="1:64" x14ac:dyDescent="0.2">
      <c r="A54" s="35"/>
      <c r="B54" s="36"/>
      <c r="C54" s="81" t="s">
        <v>536</v>
      </c>
      <c r="D54" s="36"/>
      <c r="E54" s="82" t="s">
        <v>913</v>
      </c>
      <c r="F54" s="36"/>
      <c r="G54" s="83">
        <v>3.0750000000000002</v>
      </c>
      <c r="H54" s="36"/>
      <c r="I54" s="36"/>
      <c r="J54" s="36"/>
      <c r="K54" s="36"/>
      <c r="L54" s="36"/>
      <c r="M54" s="35"/>
      <c r="N54" s="32"/>
    </row>
    <row r="55" spans="1:64" x14ac:dyDescent="0.2">
      <c r="A55" s="77"/>
      <c r="B55" s="76" t="s">
        <v>86</v>
      </c>
      <c r="C55" s="204" t="s">
        <v>112</v>
      </c>
      <c r="D55" s="205"/>
      <c r="E55" s="205"/>
      <c r="F55" s="77" t="s">
        <v>60</v>
      </c>
      <c r="G55" s="77" t="s">
        <v>60</v>
      </c>
      <c r="H55" s="77" t="s">
        <v>60</v>
      </c>
      <c r="I55" s="78">
        <f>SUM(I56:I88)</f>
        <v>0</v>
      </c>
      <c r="J55" s="78">
        <f>SUM(J56:J88)</f>
        <v>0</v>
      </c>
      <c r="K55" s="78">
        <f>SUM(K56:K88)</f>
        <v>0</v>
      </c>
      <c r="L55" s="78">
        <f>SUM(L56:L88)</f>
        <v>16060.355000000001</v>
      </c>
      <c r="M55" s="93"/>
      <c r="N55" s="32"/>
      <c r="AI55" s="26" t="s">
        <v>76</v>
      </c>
      <c r="AS55" s="31">
        <f>SUM(AJ56:AJ88)</f>
        <v>0</v>
      </c>
      <c r="AT55" s="31">
        <f>SUM(AK56:AK88)</f>
        <v>0</v>
      </c>
      <c r="AU55" s="31">
        <f>SUM(AL56:AL88)</f>
        <v>0</v>
      </c>
    </row>
    <row r="56" spans="1:64" x14ac:dyDescent="0.2">
      <c r="A56" s="79" t="s">
        <v>150</v>
      </c>
      <c r="B56" s="79" t="s">
        <v>363</v>
      </c>
      <c r="C56" s="194" t="s">
        <v>537</v>
      </c>
      <c r="D56" s="195"/>
      <c r="E56" s="195"/>
      <c r="F56" s="79" t="s">
        <v>1050</v>
      </c>
      <c r="G56" s="80">
        <v>2.52</v>
      </c>
      <c r="H56" s="80">
        <v>0</v>
      </c>
      <c r="I56" s="80">
        <f>G56*AO56</f>
        <v>0</v>
      </c>
      <c r="J56" s="80">
        <f>G56*AP56</f>
        <v>0</v>
      </c>
      <c r="K56" s="80">
        <f>G56*H56</f>
        <v>0</v>
      </c>
      <c r="L56" s="80">
        <f>G56*56</f>
        <v>141.12</v>
      </c>
      <c r="M56" s="94" t="s">
        <v>1066</v>
      </c>
      <c r="N56" s="32"/>
      <c r="Z56" s="11">
        <f>IF(AQ56="5",BJ56,0)</f>
        <v>0</v>
      </c>
      <c r="AB56" s="11">
        <f>IF(AQ56="1",BH56,0)</f>
        <v>0</v>
      </c>
      <c r="AC56" s="11">
        <f>IF(AQ56="1",BI56,0)</f>
        <v>0</v>
      </c>
      <c r="AD56" s="11">
        <f>IF(AQ56="7",BH56,0)</f>
        <v>0</v>
      </c>
      <c r="AE56" s="11">
        <f>IF(AQ56="7",BI56,0)</f>
        <v>0</v>
      </c>
      <c r="AF56" s="11">
        <f>IF(AQ56="2",BH56,0)</f>
        <v>0</v>
      </c>
      <c r="AG56" s="11">
        <f>IF(AQ56="2",BI56,0)</f>
        <v>0</v>
      </c>
      <c r="AH56" s="11">
        <f>IF(AQ56="0",BJ56,0)</f>
        <v>0</v>
      </c>
      <c r="AI56" s="26" t="s">
        <v>76</v>
      </c>
      <c r="AJ56" s="20">
        <f>IF(AN56=0,K56,0)</f>
        <v>0</v>
      </c>
      <c r="AK56" s="20">
        <f>IF(AN56=15,K56,0)</f>
        <v>0</v>
      </c>
      <c r="AL56" s="20">
        <f>IF(AN56=21,K56,0)</f>
        <v>0</v>
      </c>
      <c r="AN56" s="11">
        <v>21</v>
      </c>
      <c r="AO56" s="11">
        <f>H56*0.247439024390244</f>
        <v>0</v>
      </c>
      <c r="AP56" s="11">
        <f>H56*(1-0.247439024390244)</f>
        <v>0</v>
      </c>
      <c r="AQ56" s="27" t="s">
        <v>138</v>
      </c>
      <c r="AV56" s="11">
        <f>AW56+AX56</f>
        <v>0</v>
      </c>
      <c r="AW56" s="11">
        <f>G56*AO56</f>
        <v>0</v>
      </c>
      <c r="AX56" s="11">
        <f>G56*AP56</f>
        <v>0</v>
      </c>
      <c r="AY56" s="29" t="s">
        <v>1079</v>
      </c>
      <c r="AZ56" s="29" t="s">
        <v>1104</v>
      </c>
      <c r="BA56" s="26" t="s">
        <v>1128</v>
      </c>
      <c r="BB56" s="26" t="s">
        <v>1136</v>
      </c>
      <c r="BC56" s="11">
        <f>AW56+AX56</f>
        <v>0</v>
      </c>
      <c r="BD56" s="11">
        <f>H56/(100-BE56)*100</f>
        <v>0</v>
      </c>
      <c r="BE56" s="11">
        <v>0</v>
      </c>
      <c r="BF56" s="11">
        <f>L56</f>
        <v>141.12</v>
      </c>
      <c r="BH56" s="20">
        <f>G56*AO56</f>
        <v>0</v>
      </c>
      <c r="BI56" s="20">
        <f>G56*AP56</f>
        <v>0</v>
      </c>
      <c r="BJ56" s="20">
        <f>G56*H56</f>
        <v>0</v>
      </c>
      <c r="BK56" s="20" t="s">
        <v>1164</v>
      </c>
      <c r="BL56" s="11">
        <v>61</v>
      </c>
    </row>
    <row r="57" spans="1:64" x14ac:dyDescent="0.2">
      <c r="A57" s="35"/>
      <c r="B57" s="86" t="s">
        <v>354</v>
      </c>
      <c r="C57" s="196" t="s">
        <v>538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32"/>
    </row>
    <row r="58" spans="1:64" x14ac:dyDescent="0.2">
      <c r="A58" s="35"/>
      <c r="B58" s="36"/>
      <c r="C58" s="81" t="s">
        <v>539</v>
      </c>
      <c r="D58" s="36"/>
      <c r="E58" s="82" t="s">
        <v>916</v>
      </c>
      <c r="F58" s="36"/>
      <c r="G58" s="83">
        <v>2.52</v>
      </c>
      <c r="H58" s="36"/>
      <c r="I58" s="36"/>
      <c r="J58" s="36"/>
      <c r="K58" s="36"/>
      <c r="L58" s="36"/>
      <c r="M58" s="35"/>
      <c r="N58" s="32"/>
    </row>
    <row r="59" spans="1:64" x14ac:dyDescent="0.2">
      <c r="A59" s="79" t="s">
        <v>151</v>
      </c>
      <c r="B59" s="79" t="s">
        <v>364</v>
      </c>
      <c r="C59" s="194" t="s">
        <v>540</v>
      </c>
      <c r="D59" s="195"/>
      <c r="E59" s="195"/>
      <c r="F59" s="79" t="s">
        <v>1050</v>
      </c>
      <c r="G59" s="80">
        <v>11.522500000000001</v>
      </c>
      <c r="H59" s="80">
        <v>0</v>
      </c>
      <c r="I59" s="80">
        <f>G59*AO59</f>
        <v>0</v>
      </c>
      <c r="J59" s="80">
        <f>G59*AP59</f>
        <v>0</v>
      </c>
      <c r="K59" s="80">
        <f>G59*H59</f>
        <v>0</v>
      </c>
      <c r="L59" s="80">
        <f>G59*59</f>
        <v>679.8275000000001</v>
      </c>
      <c r="M59" s="94" t="s">
        <v>1066</v>
      </c>
      <c r="N59" s="32"/>
      <c r="Z59" s="11">
        <f>IF(AQ59="5",BJ59,0)</f>
        <v>0</v>
      </c>
      <c r="AB59" s="11">
        <f>IF(AQ59="1",BH59,0)</f>
        <v>0</v>
      </c>
      <c r="AC59" s="11">
        <f>IF(AQ59="1",BI59,0)</f>
        <v>0</v>
      </c>
      <c r="AD59" s="11">
        <f>IF(AQ59="7",BH59,0)</f>
        <v>0</v>
      </c>
      <c r="AE59" s="11">
        <f>IF(AQ59="7",BI59,0)</f>
        <v>0</v>
      </c>
      <c r="AF59" s="11">
        <f>IF(AQ59="2",BH59,0)</f>
        <v>0</v>
      </c>
      <c r="AG59" s="11">
        <f>IF(AQ59="2",BI59,0)</f>
        <v>0</v>
      </c>
      <c r="AH59" s="11">
        <f>IF(AQ59="0",BJ59,0)</f>
        <v>0</v>
      </c>
      <c r="AI59" s="26" t="s">
        <v>76</v>
      </c>
      <c r="AJ59" s="20">
        <f>IF(AN59=0,K59,0)</f>
        <v>0</v>
      </c>
      <c r="AK59" s="20">
        <f>IF(AN59=15,K59,0)</f>
        <v>0</v>
      </c>
      <c r="AL59" s="20">
        <f>IF(AN59=21,K59,0)</f>
        <v>0</v>
      </c>
      <c r="AN59" s="11">
        <v>21</v>
      </c>
      <c r="AO59" s="11">
        <f>H59*0.271193622622283</f>
        <v>0</v>
      </c>
      <c r="AP59" s="11">
        <f>H59*(1-0.271193622622283)</f>
        <v>0</v>
      </c>
      <c r="AQ59" s="27" t="s">
        <v>138</v>
      </c>
      <c r="AV59" s="11">
        <f>AW59+AX59</f>
        <v>0</v>
      </c>
      <c r="AW59" s="11">
        <f>G59*AO59</f>
        <v>0</v>
      </c>
      <c r="AX59" s="11">
        <f>G59*AP59</f>
        <v>0</v>
      </c>
      <c r="AY59" s="29" t="s">
        <v>1079</v>
      </c>
      <c r="AZ59" s="29" t="s">
        <v>1104</v>
      </c>
      <c r="BA59" s="26" t="s">
        <v>1128</v>
      </c>
      <c r="BB59" s="26" t="s">
        <v>1136</v>
      </c>
      <c r="BC59" s="11">
        <f>AW59+AX59</f>
        <v>0</v>
      </c>
      <c r="BD59" s="11">
        <f>H59/(100-BE59)*100</f>
        <v>0</v>
      </c>
      <c r="BE59" s="11">
        <v>0</v>
      </c>
      <c r="BF59" s="11">
        <f>L59</f>
        <v>679.8275000000001</v>
      </c>
      <c r="BH59" s="20">
        <f>G59*AO59</f>
        <v>0</v>
      </c>
      <c r="BI59" s="20">
        <f>G59*AP59</f>
        <v>0</v>
      </c>
      <c r="BJ59" s="20">
        <f>G59*H59</f>
        <v>0</v>
      </c>
      <c r="BK59" s="20" t="s">
        <v>1164</v>
      </c>
      <c r="BL59" s="11">
        <v>61</v>
      </c>
    </row>
    <row r="60" spans="1:64" x14ac:dyDescent="0.2">
      <c r="A60" s="35"/>
      <c r="B60" s="86" t="s">
        <v>354</v>
      </c>
      <c r="C60" s="196" t="s">
        <v>538</v>
      </c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32"/>
    </row>
    <row r="61" spans="1:64" x14ac:dyDescent="0.2">
      <c r="A61" s="35"/>
      <c r="B61" s="36"/>
      <c r="C61" s="81" t="s">
        <v>541</v>
      </c>
      <c r="D61" s="36"/>
      <c r="E61" s="82" t="s">
        <v>917</v>
      </c>
      <c r="F61" s="36"/>
      <c r="G61" s="83">
        <v>7.5625</v>
      </c>
      <c r="H61" s="36"/>
      <c r="I61" s="36"/>
      <c r="J61" s="36"/>
      <c r="K61" s="36"/>
      <c r="L61" s="36"/>
      <c r="M61" s="35"/>
      <c r="N61" s="32"/>
    </row>
    <row r="62" spans="1:64" x14ac:dyDescent="0.2">
      <c r="A62" s="35"/>
      <c r="B62" s="36"/>
      <c r="C62" s="81" t="s">
        <v>542</v>
      </c>
      <c r="D62" s="36"/>
      <c r="E62" s="82" t="s">
        <v>918</v>
      </c>
      <c r="F62" s="36"/>
      <c r="G62" s="83">
        <v>3.96</v>
      </c>
      <c r="H62" s="36"/>
      <c r="I62" s="36"/>
      <c r="J62" s="36"/>
      <c r="K62" s="36"/>
      <c r="L62" s="36"/>
      <c r="M62" s="35"/>
      <c r="N62" s="32"/>
    </row>
    <row r="63" spans="1:64" x14ac:dyDescent="0.2">
      <c r="A63" s="79" t="s">
        <v>152</v>
      </c>
      <c r="B63" s="79" t="s">
        <v>365</v>
      </c>
      <c r="C63" s="194" t="s">
        <v>543</v>
      </c>
      <c r="D63" s="195"/>
      <c r="E63" s="195"/>
      <c r="F63" s="79" t="s">
        <v>1050</v>
      </c>
      <c r="G63" s="80">
        <v>10.91</v>
      </c>
      <c r="H63" s="80">
        <v>0</v>
      </c>
      <c r="I63" s="80">
        <f>G63*AO63</f>
        <v>0</v>
      </c>
      <c r="J63" s="80">
        <f>G63*AP63</f>
        <v>0</v>
      </c>
      <c r="K63" s="80">
        <f>G63*H63</f>
        <v>0</v>
      </c>
      <c r="L63" s="80">
        <f>G63*63</f>
        <v>687.33</v>
      </c>
      <c r="M63" s="94" t="s">
        <v>1066</v>
      </c>
      <c r="N63" s="32"/>
      <c r="Z63" s="11">
        <f>IF(AQ63="5",BJ63,0)</f>
        <v>0</v>
      </c>
      <c r="AB63" s="11">
        <f>IF(AQ63="1",BH63,0)</f>
        <v>0</v>
      </c>
      <c r="AC63" s="11">
        <f>IF(AQ63="1",BI63,0)</f>
        <v>0</v>
      </c>
      <c r="AD63" s="11">
        <f>IF(AQ63="7",BH63,0)</f>
        <v>0</v>
      </c>
      <c r="AE63" s="11">
        <f>IF(AQ63="7",BI63,0)</f>
        <v>0</v>
      </c>
      <c r="AF63" s="11">
        <f>IF(AQ63="2",BH63,0)</f>
        <v>0</v>
      </c>
      <c r="AG63" s="11">
        <f>IF(AQ63="2",BI63,0)</f>
        <v>0</v>
      </c>
      <c r="AH63" s="11">
        <f>IF(AQ63="0",BJ63,0)</f>
        <v>0</v>
      </c>
      <c r="AI63" s="26" t="s">
        <v>76</v>
      </c>
      <c r="AJ63" s="20">
        <f>IF(AN63=0,K63,0)</f>
        <v>0</v>
      </c>
      <c r="AK63" s="20">
        <f>IF(AN63=15,K63,0)</f>
        <v>0</v>
      </c>
      <c r="AL63" s="20">
        <f>IF(AN63=21,K63,0)</f>
        <v>0</v>
      </c>
      <c r="AN63" s="11">
        <v>21</v>
      </c>
      <c r="AO63" s="11">
        <f>H63*0.244240506329114</f>
        <v>0</v>
      </c>
      <c r="AP63" s="11">
        <f>H63*(1-0.244240506329114)</f>
        <v>0</v>
      </c>
      <c r="AQ63" s="27" t="s">
        <v>138</v>
      </c>
      <c r="AV63" s="11">
        <f>AW63+AX63</f>
        <v>0</v>
      </c>
      <c r="AW63" s="11">
        <f>G63*AO63</f>
        <v>0</v>
      </c>
      <c r="AX63" s="11">
        <f>G63*AP63</f>
        <v>0</v>
      </c>
      <c r="AY63" s="29" t="s">
        <v>1079</v>
      </c>
      <c r="AZ63" s="29" t="s">
        <v>1104</v>
      </c>
      <c r="BA63" s="26" t="s">
        <v>1128</v>
      </c>
      <c r="BB63" s="26" t="s">
        <v>1136</v>
      </c>
      <c r="BC63" s="11">
        <f>AW63+AX63</f>
        <v>0</v>
      </c>
      <c r="BD63" s="11">
        <f>H63/(100-BE63)*100</f>
        <v>0</v>
      </c>
      <c r="BE63" s="11">
        <v>0</v>
      </c>
      <c r="BF63" s="11">
        <f>L63</f>
        <v>687.33</v>
      </c>
      <c r="BH63" s="20">
        <f>G63*AO63</f>
        <v>0</v>
      </c>
      <c r="BI63" s="20">
        <f>G63*AP63</f>
        <v>0</v>
      </c>
      <c r="BJ63" s="20">
        <f>G63*H63</f>
        <v>0</v>
      </c>
      <c r="BK63" s="20" t="s">
        <v>1164</v>
      </c>
      <c r="BL63" s="11">
        <v>61</v>
      </c>
    </row>
    <row r="64" spans="1:64" x14ac:dyDescent="0.2">
      <c r="A64" s="35"/>
      <c r="B64" s="86" t="s">
        <v>354</v>
      </c>
      <c r="C64" s="196" t="s">
        <v>506</v>
      </c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32"/>
    </row>
    <row r="65" spans="1:64" x14ac:dyDescent="0.2">
      <c r="A65" s="35"/>
      <c r="B65" s="36"/>
      <c r="C65" s="81" t="s">
        <v>544</v>
      </c>
      <c r="D65" s="36"/>
      <c r="E65" s="82" t="s">
        <v>919</v>
      </c>
      <c r="F65" s="36"/>
      <c r="G65" s="83">
        <v>2.4500000000000002</v>
      </c>
      <c r="H65" s="36"/>
      <c r="I65" s="36"/>
      <c r="J65" s="36"/>
      <c r="K65" s="36"/>
      <c r="L65" s="36"/>
      <c r="M65" s="35"/>
      <c r="N65" s="32"/>
    </row>
    <row r="66" spans="1:64" x14ac:dyDescent="0.2">
      <c r="A66" s="35"/>
      <c r="B66" s="36"/>
      <c r="C66" s="81" t="s">
        <v>545</v>
      </c>
      <c r="D66" s="36"/>
      <c r="E66" s="82" t="s">
        <v>920</v>
      </c>
      <c r="F66" s="36"/>
      <c r="G66" s="83">
        <v>3.25</v>
      </c>
      <c r="H66" s="36"/>
      <c r="I66" s="36"/>
      <c r="J66" s="36"/>
      <c r="K66" s="36"/>
      <c r="L66" s="36"/>
      <c r="M66" s="35"/>
      <c r="N66" s="32"/>
    </row>
    <row r="67" spans="1:64" x14ac:dyDescent="0.2">
      <c r="A67" s="35"/>
      <c r="B67" s="36"/>
      <c r="C67" s="81" t="s">
        <v>545</v>
      </c>
      <c r="D67" s="36"/>
      <c r="E67" s="82" t="s">
        <v>921</v>
      </c>
      <c r="F67" s="36"/>
      <c r="G67" s="83">
        <v>3.25</v>
      </c>
      <c r="H67" s="36"/>
      <c r="I67" s="36"/>
      <c r="J67" s="36"/>
      <c r="K67" s="36"/>
      <c r="L67" s="36"/>
      <c r="M67" s="35"/>
      <c r="N67" s="32"/>
    </row>
    <row r="68" spans="1:64" x14ac:dyDescent="0.2">
      <c r="A68" s="35"/>
      <c r="B68" s="36"/>
      <c r="C68" s="81" t="s">
        <v>546</v>
      </c>
      <c r="D68" s="36"/>
      <c r="E68" s="82" t="s">
        <v>922</v>
      </c>
      <c r="F68" s="36"/>
      <c r="G68" s="83">
        <v>1.96</v>
      </c>
      <c r="H68" s="36"/>
      <c r="I68" s="36"/>
      <c r="J68" s="36"/>
      <c r="K68" s="36"/>
      <c r="L68" s="36"/>
      <c r="M68" s="35"/>
      <c r="N68" s="32"/>
    </row>
    <row r="69" spans="1:64" x14ac:dyDescent="0.2">
      <c r="A69" s="79" t="s">
        <v>153</v>
      </c>
      <c r="B69" s="79" t="s">
        <v>366</v>
      </c>
      <c r="C69" s="194" t="s">
        <v>547</v>
      </c>
      <c r="D69" s="195"/>
      <c r="E69" s="195"/>
      <c r="F69" s="79" t="s">
        <v>1050</v>
      </c>
      <c r="G69" s="80">
        <v>19.48</v>
      </c>
      <c r="H69" s="80">
        <v>0</v>
      </c>
      <c r="I69" s="80">
        <f>G69*AO69</f>
        <v>0</v>
      </c>
      <c r="J69" s="80">
        <f>G69*AP69</f>
        <v>0</v>
      </c>
      <c r="K69" s="80">
        <f>G69*H69</f>
        <v>0</v>
      </c>
      <c r="L69" s="80">
        <f>G69*69</f>
        <v>1344.1200000000001</v>
      </c>
      <c r="M69" s="94" t="s">
        <v>1066</v>
      </c>
      <c r="N69" s="32"/>
      <c r="Z69" s="11">
        <f>IF(AQ69="5",BJ69,0)</f>
        <v>0</v>
      </c>
      <c r="AB69" s="11">
        <f>IF(AQ69="1",BH69,0)</f>
        <v>0</v>
      </c>
      <c r="AC69" s="11">
        <f>IF(AQ69="1",BI69,0)</f>
        <v>0</v>
      </c>
      <c r="AD69" s="11">
        <f>IF(AQ69="7",BH69,0)</f>
        <v>0</v>
      </c>
      <c r="AE69" s="11">
        <f>IF(AQ69="7",BI69,0)</f>
        <v>0</v>
      </c>
      <c r="AF69" s="11">
        <f>IF(AQ69="2",BH69,0)</f>
        <v>0</v>
      </c>
      <c r="AG69" s="11">
        <f>IF(AQ69="2",BI69,0)</f>
        <v>0</v>
      </c>
      <c r="AH69" s="11">
        <f>IF(AQ69="0",BJ69,0)</f>
        <v>0</v>
      </c>
      <c r="AI69" s="26" t="s">
        <v>76</v>
      </c>
      <c r="AJ69" s="20">
        <f>IF(AN69=0,K69,0)</f>
        <v>0</v>
      </c>
      <c r="AK69" s="20">
        <f>IF(AN69=15,K69,0)</f>
        <v>0</v>
      </c>
      <c r="AL69" s="20">
        <f>IF(AN69=21,K69,0)</f>
        <v>0</v>
      </c>
      <c r="AN69" s="11">
        <v>21</v>
      </c>
      <c r="AO69" s="11">
        <f>H69*0.15740206185567</f>
        <v>0</v>
      </c>
      <c r="AP69" s="11">
        <f>H69*(1-0.15740206185567)</f>
        <v>0</v>
      </c>
      <c r="AQ69" s="27" t="s">
        <v>138</v>
      </c>
      <c r="AV69" s="11">
        <f>AW69+AX69</f>
        <v>0</v>
      </c>
      <c r="AW69" s="11">
        <f>G69*AO69</f>
        <v>0</v>
      </c>
      <c r="AX69" s="11">
        <f>G69*AP69</f>
        <v>0</v>
      </c>
      <c r="AY69" s="29" t="s">
        <v>1079</v>
      </c>
      <c r="AZ69" s="29" t="s">
        <v>1104</v>
      </c>
      <c r="BA69" s="26" t="s">
        <v>1128</v>
      </c>
      <c r="BB69" s="26" t="s">
        <v>1136</v>
      </c>
      <c r="BC69" s="11">
        <f>AW69+AX69</f>
        <v>0</v>
      </c>
      <c r="BD69" s="11">
        <f>H69/(100-BE69)*100</f>
        <v>0</v>
      </c>
      <c r="BE69" s="11">
        <v>0</v>
      </c>
      <c r="BF69" s="11">
        <f>L69</f>
        <v>1344.1200000000001</v>
      </c>
      <c r="BH69" s="20">
        <f>G69*AO69</f>
        <v>0</v>
      </c>
      <c r="BI69" s="20">
        <f>G69*AP69</f>
        <v>0</v>
      </c>
      <c r="BJ69" s="20">
        <f>G69*H69</f>
        <v>0</v>
      </c>
      <c r="BK69" s="20" t="s">
        <v>1164</v>
      </c>
      <c r="BL69" s="11">
        <v>61</v>
      </c>
    </row>
    <row r="70" spans="1:64" x14ac:dyDescent="0.2">
      <c r="A70" s="35"/>
      <c r="B70" s="36"/>
      <c r="C70" s="81" t="s">
        <v>548</v>
      </c>
      <c r="D70" s="36"/>
      <c r="E70" s="82" t="s">
        <v>923</v>
      </c>
      <c r="F70" s="36"/>
      <c r="G70" s="83">
        <v>19.48</v>
      </c>
      <c r="H70" s="36"/>
      <c r="I70" s="36"/>
      <c r="J70" s="36"/>
      <c r="K70" s="36"/>
      <c r="L70" s="36"/>
      <c r="M70" s="35"/>
      <c r="N70" s="32"/>
    </row>
    <row r="71" spans="1:64" x14ac:dyDescent="0.2">
      <c r="A71" s="79" t="s">
        <v>154</v>
      </c>
      <c r="B71" s="79" t="s">
        <v>367</v>
      </c>
      <c r="C71" s="194" t="s">
        <v>549</v>
      </c>
      <c r="D71" s="195"/>
      <c r="E71" s="195"/>
      <c r="F71" s="79" t="s">
        <v>1050</v>
      </c>
      <c r="G71" s="80">
        <v>158.49850000000001</v>
      </c>
      <c r="H71" s="80">
        <v>0</v>
      </c>
      <c r="I71" s="80">
        <f>G71*AO71</f>
        <v>0</v>
      </c>
      <c r="J71" s="80">
        <f>G71*AP71</f>
        <v>0</v>
      </c>
      <c r="K71" s="80">
        <f>G71*H71</f>
        <v>0</v>
      </c>
      <c r="L71" s="80">
        <f>G71*71</f>
        <v>11253.3935</v>
      </c>
      <c r="M71" s="94" t="s">
        <v>1066</v>
      </c>
      <c r="N71" s="32"/>
      <c r="Z71" s="11">
        <f>IF(AQ71="5",BJ71,0)</f>
        <v>0</v>
      </c>
      <c r="AB71" s="11">
        <f>IF(AQ71="1",BH71,0)</f>
        <v>0</v>
      </c>
      <c r="AC71" s="11">
        <f>IF(AQ71="1",BI71,0)</f>
        <v>0</v>
      </c>
      <c r="AD71" s="11">
        <f>IF(AQ71="7",BH71,0)</f>
        <v>0</v>
      </c>
      <c r="AE71" s="11">
        <f>IF(AQ71="7",BI71,0)</f>
        <v>0</v>
      </c>
      <c r="AF71" s="11">
        <f>IF(AQ71="2",BH71,0)</f>
        <v>0</v>
      </c>
      <c r="AG71" s="11">
        <f>IF(AQ71="2",BI71,0)</f>
        <v>0</v>
      </c>
      <c r="AH71" s="11">
        <f>IF(AQ71="0",BJ71,0)</f>
        <v>0</v>
      </c>
      <c r="AI71" s="26" t="s">
        <v>76</v>
      </c>
      <c r="AJ71" s="20">
        <f>IF(AN71=0,K71,0)</f>
        <v>0</v>
      </c>
      <c r="AK71" s="20">
        <f>IF(AN71=15,K71,0)</f>
        <v>0</v>
      </c>
      <c r="AL71" s="20">
        <f>IF(AN71=21,K71,0)</f>
        <v>0</v>
      </c>
      <c r="AN71" s="11">
        <v>21</v>
      </c>
      <c r="AO71" s="11">
        <f>H71*0.297197854817208</f>
        <v>0</v>
      </c>
      <c r="AP71" s="11">
        <f>H71*(1-0.297197854817208)</f>
        <v>0</v>
      </c>
      <c r="AQ71" s="27" t="s">
        <v>138</v>
      </c>
      <c r="AV71" s="11">
        <f>AW71+AX71</f>
        <v>0</v>
      </c>
      <c r="AW71" s="11">
        <f>G71*AO71</f>
        <v>0</v>
      </c>
      <c r="AX71" s="11">
        <f>G71*AP71</f>
        <v>0</v>
      </c>
      <c r="AY71" s="29" t="s">
        <v>1079</v>
      </c>
      <c r="AZ71" s="29" t="s">
        <v>1104</v>
      </c>
      <c r="BA71" s="26" t="s">
        <v>1128</v>
      </c>
      <c r="BB71" s="26" t="s">
        <v>1136</v>
      </c>
      <c r="BC71" s="11">
        <f>AW71+AX71</f>
        <v>0</v>
      </c>
      <c r="BD71" s="11">
        <f>H71/(100-BE71)*100</f>
        <v>0</v>
      </c>
      <c r="BE71" s="11">
        <v>0</v>
      </c>
      <c r="BF71" s="11">
        <f>L71</f>
        <v>11253.3935</v>
      </c>
      <c r="BH71" s="20">
        <f>G71*AO71</f>
        <v>0</v>
      </c>
      <c r="BI71" s="20">
        <f>G71*AP71</f>
        <v>0</v>
      </c>
      <c r="BJ71" s="20">
        <f>G71*H71</f>
        <v>0</v>
      </c>
      <c r="BK71" s="20" t="s">
        <v>1164</v>
      </c>
      <c r="BL71" s="11">
        <v>61</v>
      </c>
    </row>
    <row r="72" spans="1:64" x14ac:dyDescent="0.2">
      <c r="A72" s="35"/>
      <c r="B72" s="86" t="s">
        <v>354</v>
      </c>
      <c r="C72" s="196" t="s">
        <v>550</v>
      </c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32"/>
    </row>
    <row r="73" spans="1:64" x14ac:dyDescent="0.2">
      <c r="A73" s="35"/>
      <c r="B73" s="36"/>
      <c r="C73" s="81" t="s">
        <v>551</v>
      </c>
      <c r="D73" s="36"/>
      <c r="E73" s="82" t="s">
        <v>924</v>
      </c>
      <c r="F73" s="36"/>
      <c r="G73" s="83">
        <v>15.756</v>
      </c>
      <c r="H73" s="36"/>
      <c r="I73" s="36"/>
      <c r="J73" s="36"/>
      <c r="K73" s="36"/>
      <c r="L73" s="36"/>
      <c r="M73" s="35"/>
      <c r="N73" s="32"/>
    </row>
    <row r="74" spans="1:64" x14ac:dyDescent="0.2">
      <c r="A74" s="35"/>
      <c r="B74" s="36"/>
      <c r="C74" s="81" t="s">
        <v>552</v>
      </c>
      <c r="D74" s="36"/>
      <c r="E74" s="82"/>
      <c r="F74" s="36"/>
      <c r="G74" s="83">
        <v>10.5</v>
      </c>
      <c r="H74" s="36"/>
      <c r="I74" s="36"/>
      <c r="J74" s="36"/>
      <c r="K74" s="36"/>
      <c r="L74" s="36"/>
      <c r="M74" s="35"/>
      <c r="N74" s="32"/>
    </row>
    <row r="75" spans="1:64" x14ac:dyDescent="0.2">
      <c r="A75" s="35"/>
      <c r="B75" s="36"/>
      <c r="C75" s="81" t="s">
        <v>553</v>
      </c>
      <c r="D75" s="36"/>
      <c r="E75" s="82"/>
      <c r="F75" s="36"/>
      <c r="G75" s="83">
        <v>1.44</v>
      </c>
      <c r="H75" s="36"/>
      <c r="I75" s="36"/>
      <c r="J75" s="36"/>
      <c r="K75" s="36"/>
      <c r="L75" s="36"/>
      <c r="M75" s="35"/>
      <c r="N75" s="32"/>
    </row>
    <row r="76" spans="1:64" x14ac:dyDescent="0.2">
      <c r="A76" s="35"/>
      <c r="B76" s="36"/>
      <c r="C76" s="81" t="s">
        <v>554</v>
      </c>
      <c r="D76" s="36"/>
      <c r="E76" s="82" t="s">
        <v>925</v>
      </c>
      <c r="F76" s="36"/>
      <c r="G76" s="83">
        <v>1.5525</v>
      </c>
      <c r="H76" s="36"/>
      <c r="I76" s="36"/>
      <c r="J76" s="36"/>
      <c r="K76" s="36"/>
      <c r="L76" s="36"/>
      <c r="M76" s="35"/>
      <c r="N76" s="32"/>
    </row>
    <row r="77" spans="1:64" x14ac:dyDescent="0.2">
      <c r="A77" s="35"/>
      <c r="B77" s="36"/>
      <c r="C77" s="81" t="s">
        <v>555</v>
      </c>
      <c r="D77" s="36"/>
      <c r="E77" s="82" t="s">
        <v>926</v>
      </c>
      <c r="F77" s="36"/>
      <c r="G77" s="83">
        <v>129.25</v>
      </c>
      <c r="H77" s="36"/>
      <c r="I77" s="36"/>
      <c r="J77" s="36"/>
      <c r="K77" s="36"/>
      <c r="L77" s="36"/>
      <c r="M77" s="35"/>
      <c r="N77" s="32"/>
    </row>
    <row r="78" spans="1:64" x14ac:dyDescent="0.2">
      <c r="A78" s="79" t="s">
        <v>155</v>
      </c>
      <c r="B78" s="79" t="s">
        <v>368</v>
      </c>
      <c r="C78" s="194" t="s">
        <v>556</v>
      </c>
      <c r="D78" s="195"/>
      <c r="E78" s="195"/>
      <c r="F78" s="79" t="s">
        <v>1050</v>
      </c>
      <c r="G78" s="80">
        <v>1.6180000000000001</v>
      </c>
      <c r="H78" s="80">
        <v>0</v>
      </c>
      <c r="I78" s="80">
        <f>G78*AO78</f>
        <v>0</v>
      </c>
      <c r="J78" s="80">
        <f>G78*AP78</f>
        <v>0</v>
      </c>
      <c r="K78" s="80">
        <f>G78*H78</f>
        <v>0</v>
      </c>
      <c r="L78" s="80">
        <f>G78*78</f>
        <v>126.20400000000001</v>
      </c>
      <c r="M78" s="94" t="s">
        <v>1066</v>
      </c>
      <c r="N78" s="32"/>
      <c r="Z78" s="11">
        <f>IF(AQ78="5",BJ78,0)</f>
        <v>0</v>
      </c>
      <c r="AB78" s="11">
        <f>IF(AQ78="1",BH78,0)</f>
        <v>0</v>
      </c>
      <c r="AC78" s="11">
        <f>IF(AQ78="1",BI78,0)</f>
        <v>0</v>
      </c>
      <c r="AD78" s="11">
        <f>IF(AQ78="7",BH78,0)</f>
        <v>0</v>
      </c>
      <c r="AE78" s="11">
        <f>IF(AQ78="7",BI78,0)</f>
        <v>0</v>
      </c>
      <c r="AF78" s="11">
        <f>IF(AQ78="2",BH78,0)</f>
        <v>0</v>
      </c>
      <c r="AG78" s="11">
        <f>IF(AQ78="2",BI78,0)</f>
        <v>0</v>
      </c>
      <c r="AH78" s="11">
        <f>IF(AQ78="0",BJ78,0)</f>
        <v>0</v>
      </c>
      <c r="AI78" s="26" t="s">
        <v>76</v>
      </c>
      <c r="AJ78" s="20">
        <f>IF(AN78=0,K78,0)</f>
        <v>0</v>
      </c>
      <c r="AK78" s="20">
        <f>IF(AN78=15,K78,0)</f>
        <v>0</v>
      </c>
      <c r="AL78" s="20">
        <f>IF(AN78=21,K78,0)</f>
        <v>0</v>
      </c>
      <c r="AN78" s="11">
        <v>21</v>
      </c>
      <c r="AO78" s="11">
        <f>H78*0.253305588542229</f>
        <v>0</v>
      </c>
      <c r="AP78" s="11">
        <f>H78*(1-0.253305588542229)</f>
        <v>0</v>
      </c>
      <c r="AQ78" s="27" t="s">
        <v>138</v>
      </c>
      <c r="AV78" s="11">
        <f>AW78+AX78</f>
        <v>0</v>
      </c>
      <c r="AW78" s="11">
        <f>G78*AO78</f>
        <v>0</v>
      </c>
      <c r="AX78" s="11">
        <f>G78*AP78</f>
        <v>0</v>
      </c>
      <c r="AY78" s="29" t="s">
        <v>1079</v>
      </c>
      <c r="AZ78" s="29" t="s">
        <v>1104</v>
      </c>
      <c r="BA78" s="26" t="s">
        <v>1128</v>
      </c>
      <c r="BB78" s="26" t="s">
        <v>1136</v>
      </c>
      <c r="BC78" s="11">
        <f>AW78+AX78</f>
        <v>0</v>
      </c>
      <c r="BD78" s="11">
        <f>H78/(100-BE78)*100</f>
        <v>0</v>
      </c>
      <c r="BE78" s="11">
        <v>0</v>
      </c>
      <c r="BF78" s="11">
        <f>L78</f>
        <v>126.20400000000001</v>
      </c>
      <c r="BH78" s="20">
        <f>G78*AO78</f>
        <v>0</v>
      </c>
      <c r="BI78" s="20">
        <f>G78*AP78</f>
        <v>0</v>
      </c>
      <c r="BJ78" s="20">
        <f>G78*H78</f>
        <v>0</v>
      </c>
      <c r="BK78" s="20" t="s">
        <v>1164</v>
      </c>
      <c r="BL78" s="11">
        <v>61</v>
      </c>
    </row>
    <row r="79" spans="1:64" x14ac:dyDescent="0.2">
      <c r="A79" s="35"/>
      <c r="B79" s="86" t="s">
        <v>354</v>
      </c>
      <c r="C79" s="196" t="s">
        <v>506</v>
      </c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32"/>
    </row>
    <row r="80" spans="1:64" x14ac:dyDescent="0.2">
      <c r="A80" s="35"/>
      <c r="B80" s="36"/>
      <c r="C80" s="81" t="s">
        <v>557</v>
      </c>
      <c r="D80" s="36"/>
      <c r="E80" s="82" t="s">
        <v>927</v>
      </c>
      <c r="F80" s="36"/>
      <c r="G80" s="83">
        <v>0.878</v>
      </c>
      <c r="H80" s="36"/>
      <c r="I80" s="36"/>
      <c r="J80" s="36"/>
      <c r="K80" s="36"/>
      <c r="L80" s="36"/>
      <c r="M80" s="35"/>
      <c r="N80" s="32"/>
    </row>
    <row r="81" spans="1:64" x14ac:dyDescent="0.2">
      <c r="A81" s="35"/>
      <c r="B81" s="36"/>
      <c r="C81" s="81" t="s">
        <v>558</v>
      </c>
      <c r="D81" s="36"/>
      <c r="E81" s="82"/>
      <c r="F81" s="36"/>
      <c r="G81" s="83">
        <v>0.74</v>
      </c>
      <c r="H81" s="36"/>
      <c r="I81" s="36"/>
      <c r="J81" s="36"/>
      <c r="K81" s="36"/>
      <c r="L81" s="36"/>
      <c r="M81" s="35"/>
      <c r="N81" s="32"/>
    </row>
    <row r="82" spans="1:64" x14ac:dyDescent="0.2">
      <c r="A82" s="79" t="s">
        <v>156</v>
      </c>
      <c r="B82" s="79" t="s">
        <v>369</v>
      </c>
      <c r="C82" s="194" t="s">
        <v>559</v>
      </c>
      <c r="D82" s="195"/>
      <c r="E82" s="195"/>
      <c r="F82" s="79" t="s">
        <v>1050</v>
      </c>
      <c r="G82" s="80">
        <v>2.48</v>
      </c>
      <c r="H82" s="80">
        <v>0</v>
      </c>
      <c r="I82" s="80">
        <f>G82*AO82</f>
        <v>0</v>
      </c>
      <c r="J82" s="80">
        <f>G82*AP82</f>
        <v>0</v>
      </c>
      <c r="K82" s="80">
        <f>G82*H82</f>
        <v>0</v>
      </c>
      <c r="L82" s="80">
        <f>G82*82</f>
        <v>203.35999999999999</v>
      </c>
      <c r="M82" s="94" t="s">
        <v>1066</v>
      </c>
      <c r="N82" s="32"/>
      <c r="Z82" s="11">
        <f>IF(AQ82="5",BJ82,0)</f>
        <v>0</v>
      </c>
      <c r="AB82" s="11">
        <f>IF(AQ82="1",BH82,0)</f>
        <v>0</v>
      </c>
      <c r="AC82" s="11">
        <f>IF(AQ82="1",BI82,0)</f>
        <v>0</v>
      </c>
      <c r="AD82" s="11">
        <f>IF(AQ82="7",BH82,0)</f>
        <v>0</v>
      </c>
      <c r="AE82" s="11">
        <f>IF(AQ82="7",BI82,0)</f>
        <v>0</v>
      </c>
      <c r="AF82" s="11">
        <f>IF(AQ82="2",BH82,0)</f>
        <v>0</v>
      </c>
      <c r="AG82" s="11">
        <f>IF(AQ82="2",BI82,0)</f>
        <v>0</v>
      </c>
      <c r="AH82" s="11">
        <f>IF(AQ82="0",BJ82,0)</f>
        <v>0</v>
      </c>
      <c r="AI82" s="26" t="s">
        <v>76</v>
      </c>
      <c r="AJ82" s="20">
        <f>IF(AN82=0,K82,0)</f>
        <v>0</v>
      </c>
      <c r="AK82" s="20">
        <f>IF(AN82=15,K82,0)</f>
        <v>0</v>
      </c>
      <c r="AL82" s="20">
        <f>IF(AN82=21,K82,0)</f>
        <v>0</v>
      </c>
      <c r="AN82" s="11">
        <v>21</v>
      </c>
      <c r="AO82" s="11">
        <f>H82*0.20518</f>
        <v>0</v>
      </c>
      <c r="AP82" s="11">
        <f>H82*(1-0.20518)</f>
        <v>0</v>
      </c>
      <c r="AQ82" s="27" t="s">
        <v>138</v>
      </c>
      <c r="AV82" s="11">
        <f>AW82+AX82</f>
        <v>0</v>
      </c>
      <c r="AW82" s="11">
        <f>G82*AO82</f>
        <v>0</v>
      </c>
      <c r="AX82" s="11">
        <f>G82*AP82</f>
        <v>0</v>
      </c>
      <c r="AY82" s="29" t="s">
        <v>1079</v>
      </c>
      <c r="AZ82" s="29" t="s">
        <v>1104</v>
      </c>
      <c r="BA82" s="26" t="s">
        <v>1128</v>
      </c>
      <c r="BB82" s="26" t="s">
        <v>1136</v>
      </c>
      <c r="BC82" s="11">
        <f>AW82+AX82</f>
        <v>0</v>
      </c>
      <c r="BD82" s="11">
        <f>H82/(100-BE82)*100</f>
        <v>0</v>
      </c>
      <c r="BE82" s="11">
        <v>0</v>
      </c>
      <c r="BF82" s="11">
        <f>L82</f>
        <v>203.35999999999999</v>
      </c>
      <c r="BH82" s="20">
        <f>G82*AO82</f>
        <v>0</v>
      </c>
      <c r="BI82" s="20">
        <f>G82*AP82</f>
        <v>0</v>
      </c>
      <c r="BJ82" s="20">
        <f>G82*H82</f>
        <v>0</v>
      </c>
      <c r="BK82" s="20" t="s">
        <v>1164</v>
      </c>
      <c r="BL82" s="11">
        <v>61</v>
      </c>
    </row>
    <row r="83" spans="1:64" x14ac:dyDescent="0.2">
      <c r="A83" s="35"/>
      <c r="B83" s="86" t="s">
        <v>354</v>
      </c>
      <c r="C83" s="196" t="s">
        <v>506</v>
      </c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32"/>
    </row>
    <row r="84" spans="1:64" x14ac:dyDescent="0.2">
      <c r="A84" s="35"/>
      <c r="B84" s="36"/>
      <c r="C84" s="81" t="s">
        <v>560</v>
      </c>
      <c r="D84" s="36"/>
      <c r="E84" s="82" t="s">
        <v>927</v>
      </c>
      <c r="F84" s="36"/>
      <c r="G84" s="83">
        <v>2.48</v>
      </c>
      <c r="H84" s="36"/>
      <c r="I84" s="36"/>
      <c r="J84" s="36"/>
      <c r="K84" s="36"/>
      <c r="L84" s="36"/>
      <c r="M84" s="35"/>
      <c r="N84" s="32"/>
    </row>
    <row r="85" spans="1:64" x14ac:dyDescent="0.2">
      <c r="A85" s="79" t="s">
        <v>157</v>
      </c>
      <c r="B85" s="79" t="s">
        <v>370</v>
      </c>
      <c r="C85" s="194" t="s">
        <v>561</v>
      </c>
      <c r="D85" s="195"/>
      <c r="E85" s="195"/>
      <c r="F85" s="79" t="s">
        <v>1047</v>
      </c>
      <c r="G85" s="80">
        <v>1</v>
      </c>
      <c r="H85" s="80">
        <v>0</v>
      </c>
      <c r="I85" s="80">
        <f>G85*AO85</f>
        <v>0</v>
      </c>
      <c r="J85" s="80">
        <f>G85*AP85</f>
        <v>0</v>
      </c>
      <c r="K85" s="80">
        <f>G85*H85</f>
        <v>0</v>
      </c>
      <c r="L85" s="80">
        <f>G85*85</f>
        <v>85</v>
      </c>
      <c r="M85" s="94" t="s">
        <v>1066</v>
      </c>
      <c r="N85" s="32"/>
      <c r="Z85" s="11">
        <f>IF(AQ85="5",BJ85,0)</f>
        <v>0</v>
      </c>
      <c r="AB85" s="11">
        <f>IF(AQ85="1",BH85,0)</f>
        <v>0</v>
      </c>
      <c r="AC85" s="11">
        <f>IF(AQ85="1",BI85,0)</f>
        <v>0</v>
      </c>
      <c r="AD85" s="11">
        <f>IF(AQ85="7",BH85,0)</f>
        <v>0</v>
      </c>
      <c r="AE85" s="11">
        <f>IF(AQ85="7",BI85,0)</f>
        <v>0</v>
      </c>
      <c r="AF85" s="11">
        <f>IF(AQ85="2",BH85,0)</f>
        <v>0</v>
      </c>
      <c r="AG85" s="11">
        <f>IF(AQ85="2",BI85,0)</f>
        <v>0</v>
      </c>
      <c r="AH85" s="11">
        <f>IF(AQ85="0",BJ85,0)</f>
        <v>0</v>
      </c>
      <c r="AI85" s="26" t="s">
        <v>76</v>
      </c>
      <c r="AJ85" s="20">
        <f>IF(AN85=0,K85,0)</f>
        <v>0</v>
      </c>
      <c r="AK85" s="20">
        <f>IF(AN85=15,K85,0)</f>
        <v>0</v>
      </c>
      <c r="AL85" s="20">
        <f>IF(AN85=21,K85,0)</f>
        <v>0</v>
      </c>
      <c r="AN85" s="11">
        <v>21</v>
      </c>
      <c r="AO85" s="11">
        <f>H85*0.186131386861314</f>
        <v>0</v>
      </c>
      <c r="AP85" s="11">
        <f>H85*(1-0.186131386861314)</f>
        <v>0</v>
      </c>
      <c r="AQ85" s="27" t="s">
        <v>138</v>
      </c>
      <c r="AV85" s="11">
        <f>AW85+AX85</f>
        <v>0</v>
      </c>
      <c r="AW85" s="11">
        <f>G85*AO85</f>
        <v>0</v>
      </c>
      <c r="AX85" s="11">
        <f>G85*AP85</f>
        <v>0</v>
      </c>
      <c r="AY85" s="29" t="s">
        <v>1079</v>
      </c>
      <c r="AZ85" s="29" t="s">
        <v>1104</v>
      </c>
      <c r="BA85" s="26" t="s">
        <v>1128</v>
      </c>
      <c r="BB85" s="26" t="s">
        <v>1136</v>
      </c>
      <c r="BC85" s="11">
        <f>AW85+AX85</f>
        <v>0</v>
      </c>
      <c r="BD85" s="11">
        <f>H85/(100-BE85)*100</f>
        <v>0</v>
      </c>
      <c r="BE85" s="11">
        <v>0</v>
      </c>
      <c r="BF85" s="11">
        <f>L85</f>
        <v>85</v>
      </c>
      <c r="BH85" s="20">
        <f>G85*AO85</f>
        <v>0</v>
      </c>
      <c r="BI85" s="20">
        <f>G85*AP85</f>
        <v>0</v>
      </c>
      <c r="BJ85" s="20">
        <f>G85*H85</f>
        <v>0</v>
      </c>
      <c r="BK85" s="20" t="s">
        <v>1164</v>
      </c>
      <c r="BL85" s="11">
        <v>61</v>
      </c>
    </row>
    <row r="86" spans="1:64" x14ac:dyDescent="0.2">
      <c r="A86" s="35"/>
      <c r="B86" s="86" t="s">
        <v>354</v>
      </c>
      <c r="C86" s="196" t="s">
        <v>562</v>
      </c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32"/>
    </row>
    <row r="87" spans="1:64" x14ac:dyDescent="0.2">
      <c r="A87" s="35"/>
      <c r="B87" s="36"/>
      <c r="C87" s="81" t="s">
        <v>138</v>
      </c>
      <c r="D87" s="36"/>
      <c r="E87" s="82" t="s">
        <v>928</v>
      </c>
      <c r="F87" s="36"/>
      <c r="G87" s="83">
        <v>1</v>
      </c>
      <c r="H87" s="36"/>
      <c r="I87" s="36"/>
      <c r="J87" s="36"/>
      <c r="K87" s="36"/>
      <c r="L87" s="36"/>
      <c r="M87" s="35"/>
      <c r="N87" s="32"/>
    </row>
    <row r="88" spans="1:64" x14ac:dyDescent="0.2">
      <c r="A88" s="79" t="s">
        <v>158</v>
      </c>
      <c r="B88" s="79" t="s">
        <v>371</v>
      </c>
      <c r="C88" s="194" t="s">
        <v>563</v>
      </c>
      <c r="D88" s="195"/>
      <c r="E88" s="195"/>
      <c r="F88" s="79" t="s">
        <v>1050</v>
      </c>
      <c r="G88" s="80">
        <v>17.5</v>
      </c>
      <c r="H88" s="80">
        <v>0</v>
      </c>
      <c r="I88" s="80">
        <f>G88*AO88</f>
        <v>0</v>
      </c>
      <c r="J88" s="80">
        <f>G88*AP88</f>
        <v>0</v>
      </c>
      <c r="K88" s="80">
        <f>G88*H88</f>
        <v>0</v>
      </c>
      <c r="L88" s="80">
        <f>G88*88</f>
        <v>1540</v>
      </c>
      <c r="M88" s="94" t="s">
        <v>1066</v>
      </c>
      <c r="N88" s="32"/>
      <c r="Z88" s="11">
        <f>IF(AQ88="5",BJ88,0)</f>
        <v>0</v>
      </c>
      <c r="AB88" s="11">
        <f>IF(AQ88="1",BH88,0)</f>
        <v>0</v>
      </c>
      <c r="AC88" s="11">
        <f>IF(AQ88="1",BI88,0)</f>
        <v>0</v>
      </c>
      <c r="AD88" s="11">
        <f>IF(AQ88="7",BH88,0)</f>
        <v>0</v>
      </c>
      <c r="AE88" s="11">
        <f>IF(AQ88="7",BI88,0)</f>
        <v>0</v>
      </c>
      <c r="AF88" s="11">
        <f>IF(AQ88="2",BH88,0)</f>
        <v>0</v>
      </c>
      <c r="AG88" s="11">
        <f>IF(AQ88="2",BI88,0)</f>
        <v>0</v>
      </c>
      <c r="AH88" s="11">
        <f>IF(AQ88="0",BJ88,0)</f>
        <v>0</v>
      </c>
      <c r="AI88" s="26" t="s">
        <v>76</v>
      </c>
      <c r="AJ88" s="20">
        <f>IF(AN88=0,K88,0)</f>
        <v>0</v>
      </c>
      <c r="AK88" s="20">
        <f>IF(AN88=15,K88,0)</f>
        <v>0</v>
      </c>
      <c r="AL88" s="20">
        <f>IF(AN88=21,K88,0)</f>
        <v>0</v>
      </c>
      <c r="AN88" s="11">
        <v>21</v>
      </c>
      <c r="AO88" s="11">
        <f>H88*0.0467901234567901</f>
        <v>0</v>
      </c>
      <c r="AP88" s="11">
        <f>H88*(1-0.0467901234567901)</f>
        <v>0</v>
      </c>
      <c r="AQ88" s="27" t="s">
        <v>138</v>
      </c>
      <c r="AV88" s="11">
        <f>AW88+AX88</f>
        <v>0</v>
      </c>
      <c r="AW88" s="11">
        <f>G88*AO88</f>
        <v>0</v>
      </c>
      <c r="AX88" s="11">
        <f>G88*AP88</f>
        <v>0</v>
      </c>
      <c r="AY88" s="29" t="s">
        <v>1079</v>
      </c>
      <c r="AZ88" s="29" t="s">
        <v>1104</v>
      </c>
      <c r="BA88" s="26" t="s">
        <v>1128</v>
      </c>
      <c r="BB88" s="26" t="s">
        <v>1136</v>
      </c>
      <c r="BC88" s="11">
        <f>AW88+AX88</f>
        <v>0</v>
      </c>
      <c r="BD88" s="11">
        <f>H88/(100-BE88)*100</f>
        <v>0</v>
      </c>
      <c r="BE88" s="11">
        <v>0</v>
      </c>
      <c r="BF88" s="11">
        <f>L88</f>
        <v>1540</v>
      </c>
      <c r="BH88" s="20">
        <f>G88*AO88</f>
        <v>0</v>
      </c>
      <c r="BI88" s="20">
        <f>G88*AP88</f>
        <v>0</v>
      </c>
      <c r="BJ88" s="20">
        <f>G88*H88</f>
        <v>0</v>
      </c>
      <c r="BK88" s="20" t="s">
        <v>1164</v>
      </c>
      <c r="BL88" s="11">
        <v>61</v>
      </c>
    </row>
    <row r="89" spans="1:64" x14ac:dyDescent="0.2">
      <c r="A89" s="35"/>
      <c r="B89" s="36"/>
      <c r="C89" s="81" t="s">
        <v>564</v>
      </c>
      <c r="D89" s="36"/>
      <c r="E89" s="82" t="s">
        <v>929</v>
      </c>
      <c r="F89" s="36"/>
      <c r="G89" s="83">
        <v>17.5</v>
      </c>
      <c r="H89" s="36"/>
      <c r="I89" s="36"/>
      <c r="J89" s="36"/>
      <c r="K89" s="36"/>
      <c r="L89" s="36"/>
      <c r="M89" s="35"/>
      <c r="N89" s="32"/>
    </row>
    <row r="90" spans="1:64" x14ac:dyDescent="0.2">
      <c r="A90" s="77"/>
      <c r="B90" s="76" t="s">
        <v>87</v>
      </c>
      <c r="C90" s="204" t="s">
        <v>113</v>
      </c>
      <c r="D90" s="205"/>
      <c r="E90" s="205"/>
      <c r="F90" s="77" t="s">
        <v>60</v>
      </c>
      <c r="G90" s="77" t="s">
        <v>60</v>
      </c>
      <c r="H90" s="77" t="s">
        <v>60</v>
      </c>
      <c r="I90" s="78">
        <f>SUM(I91:I91)</f>
        <v>0</v>
      </c>
      <c r="J90" s="78">
        <f>SUM(J91:J91)</f>
        <v>0</v>
      </c>
      <c r="K90" s="78">
        <f>SUM(K91:K91)</f>
        <v>0</v>
      </c>
      <c r="L90" s="78">
        <f>SUM(L91:L91)</f>
        <v>6.8068000000000008</v>
      </c>
      <c r="M90" s="93"/>
      <c r="N90" s="32"/>
      <c r="AI90" s="26" t="s">
        <v>76</v>
      </c>
      <c r="AS90" s="31">
        <f>SUM(AJ91:AJ91)</f>
        <v>0</v>
      </c>
      <c r="AT90" s="31">
        <f>SUM(AK91:AK91)</f>
        <v>0</v>
      </c>
      <c r="AU90" s="31">
        <f>SUM(AL91:AL91)</f>
        <v>0</v>
      </c>
    </row>
    <row r="91" spans="1:64" x14ac:dyDescent="0.2">
      <c r="A91" s="79" t="s">
        <v>159</v>
      </c>
      <c r="B91" s="79" t="s">
        <v>372</v>
      </c>
      <c r="C91" s="194" t="s">
        <v>565</v>
      </c>
      <c r="D91" s="195"/>
      <c r="E91" s="195"/>
      <c r="F91" s="79" t="s">
        <v>1049</v>
      </c>
      <c r="G91" s="80">
        <v>7.4800000000000005E-2</v>
      </c>
      <c r="H91" s="80">
        <v>0</v>
      </c>
      <c r="I91" s="80">
        <f>G91*AO91</f>
        <v>0</v>
      </c>
      <c r="J91" s="80">
        <f>G91*AP91</f>
        <v>0</v>
      </c>
      <c r="K91" s="80">
        <f>G91*H91</f>
        <v>0</v>
      </c>
      <c r="L91" s="80">
        <f>G91*91</f>
        <v>6.8068000000000008</v>
      </c>
      <c r="M91" s="94" t="s">
        <v>1066</v>
      </c>
      <c r="N91" s="32"/>
      <c r="Z91" s="11">
        <f>IF(AQ91="5",BJ91,0)</f>
        <v>0</v>
      </c>
      <c r="AB91" s="11">
        <f>IF(AQ91="1",BH91,0)</f>
        <v>0</v>
      </c>
      <c r="AC91" s="11">
        <f>IF(AQ91="1",BI91,0)</f>
        <v>0</v>
      </c>
      <c r="AD91" s="11">
        <f>IF(AQ91="7",BH91,0)</f>
        <v>0</v>
      </c>
      <c r="AE91" s="11">
        <f>IF(AQ91="7",BI91,0)</f>
        <v>0</v>
      </c>
      <c r="AF91" s="11">
        <f>IF(AQ91="2",BH91,0)</f>
        <v>0</v>
      </c>
      <c r="AG91" s="11">
        <f>IF(AQ91="2",BI91,0)</f>
        <v>0</v>
      </c>
      <c r="AH91" s="11">
        <f>IF(AQ91="0",BJ91,0)</f>
        <v>0</v>
      </c>
      <c r="AI91" s="26" t="s">
        <v>76</v>
      </c>
      <c r="AJ91" s="20">
        <f>IF(AN91=0,K91,0)</f>
        <v>0</v>
      </c>
      <c r="AK91" s="20">
        <f>IF(AN91=15,K91,0)</f>
        <v>0</v>
      </c>
      <c r="AL91" s="20">
        <f>IF(AN91=21,K91,0)</f>
        <v>0</v>
      </c>
      <c r="AN91" s="11">
        <v>21</v>
      </c>
      <c r="AO91" s="11">
        <f>H91*0.561424113475177</f>
        <v>0</v>
      </c>
      <c r="AP91" s="11">
        <f>H91*(1-0.561424113475177)</f>
        <v>0</v>
      </c>
      <c r="AQ91" s="27" t="s">
        <v>138</v>
      </c>
      <c r="AV91" s="11">
        <f>AW91+AX91</f>
        <v>0</v>
      </c>
      <c r="AW91" s="11">
        <f>G91*AO91</f>
        <v>0</v>
      </c>
      <c r="AX91" s="11">
        <f>G91*AP91</f>
        <v>0</v>
      </c>
      <c r="AY91" s="29" t="s">
        <v>1080</v>
      </c>
      <c r="AZ91" s="29" t="s">
        <v>1104</v>
      </c>
      <c r="BA91" s="26" t="s">
        <v>1128</v>
      </c>
      <c r="BB91" s="26" t="s">
        <v>1137</v>
      </c>
      <c r="BC91" s="11">
        <f>AW91+AX91</f>
        <v>0</v>
      </c>
      <c r="BD91" s="11">
        <f>H91/(100-BE91)*100</f>
        <v>0</v>
      </c>
      <c r="BE91" s="11">
        <v>0</v>
      </c>
      <c r="BF91" s="11">
        <f>L91</f>
        <v>6.8068000000000008</v>
      </c>
      <c r="BH91" s="20">
        <f>G91*AO91</f>
        <v>0</v>
      </c>
      <c r="BI91" s="20">
        <f>G91*AP91</f>
        <v>0</v>
      </c>
      <c r="BJ91" s="20">
        <f>G91*H91</f>
        <v>0</v>
      </c>
      <c r="BK91" s="20" t="s">
        <v>1164</v>
      </c>
      <c r="BL91" s="11">
        <v>63</v>
      </c>
    </row>
    <row r="92" spans="1:64" x14ac:dyDescent="0.2">
      <c r="A92" s="35"/>
      <c r="B92" s="36"/>
      <c r="C92" s="81" t="s">
        <v>566</v>
      </c>
      <c r="D92" s="36"/>
      <c r="E92" s="82" t="s">
        <v>930</v>
      </c>
      <c r="F92" s="36"/>
      <c r="G92" s="83">
        <v>7.4800000000000005E-2</v>
      </c>
      <c r="H92" s="36"/>
      <c r="I92" s="36"/>
      <c r="J92" s="36"/>
      <c r="K92" s="36"/>
      <c r="L92" s="36"/>
      <c r="M92" s="35"/>
      <c r="N92" s="32"/>
    </row>
    <row r="93" spans="1:64" x14ac:dyDescent="0.2">
      <c r="A93" s="77"/>
      <c r="B93" s="76" t="s">
        <v>88</v>
      </c>
      <c r="C93" s="204" t="s">
        <v>114</v>
      </c>
      <c r="D93" s="205"/>
      <c r="E93" s="205"/>
      <c r="F93" s="77" t="s">
        <v>60</v>
      </c>
      <c r="G93" s="77" t="s">
        <v>60</v>
      </c>
      <c r="H93" s="77" t="s">
        <v>60</v>
      </c>
      <c r="I93" s="78">
        <f>SUM(I94:I97)</f>
        <v>0</v>
      </c>
      <c r="J93" s="78">
        <f>SUM(J94:J97)</f>
        <v>0</v>
      </c>
      <c r="K93" s="78">
        <f>SUM(K94:K97)</f>
        <v>0</v>
      </c>
      <c r="L93" s="78">
        <f>SUM(L94:L97)</f>
        <v>285</v>
      </c>
      <c r="M93" s="93"/>
      <c r="N93" s="32"/>
      <c r="AI93" s="26" t="s">
        <v>76</v>
      </c>
      <c r="AS93" s="31">
        <f>SUM(AJ94:AJ97)</f>
        <v>0</v>
      </c>
      <c r="AT93" s="31">
        <f>SUM(AK94:AK97)</f>
        <v>0</v>
      </c>
      <c r="AU93" s="31">
        <f>SUM(AL94:AL97)</f>
        <v>0</v>
      </c>
    </row>
    <row r="94" spans="1:64" x14ac:dyDescent="0.2">
      <c r="A94" s="79" t="s">
        <v>160</v>
      </c>
      <c r="B94" s="79" t="s">
        <v>373</v>
      </c>
      <c r="C94" s="194" t="s">
        <v>567</v>
      </c>
      <c r="D94" s="195"/>
      <c r="E94" s="195"/>
      <c r="F94" s="79" t="s">
        <v>1047</v>
      </c>
      <c r="G94" s="80">
        <v>2</v>
      </c>
      <c r="H94" s="80">
        <v>0</v>
      </c>
      <c r="I94" s="80">
        <f>G94*AO94</f>
        <v>0</v>
      </c>
      <c r="J94" s="80">
        <f>G94*AP94</f>
        <v>0</v>
      </c>
      <c r="K94" s="80">
        <f>G94*H94</f>
        <v>0</v>
      </c>
      <c r="L94" s="80">
        <f>G94*94</f>
        <v>188</v>
      </c>
      <c r="M94" s="94" t="s">
        <v>1066</v>
      </c>
      <c r="N94" s="32"/>
      <c r="Z94" s="11">
        <f>IF(AQ94="5",BJ94,0)</f>
        <v>0</v>
      </c>
      <c r="AB94" s="11">
        <f>IF(AQ94="1",BH94,0)</f>
        <v>0</v>
      </c>
      <c r="AC94" s="11">
        <f>IF(AQ94="1",BI94,0)</f>
        <v>0</v>
      </c>
      <c r="AD94" s="11">
        <f>IF(AQ94="7",BH94,0)</f>
        <v>0</v>
      </c>
      <c r="AE94" s="11">
        <f>IF(AQ94="7",BI94,0)</f>
        <v>0</v>
      </c>
      <c r="AF94" s="11">
        <f>IF(AQ94="2",BH94,0)</f>
        <v>0</v>
      </c>
      <c r="AG94" s="11">
        <f>IF(AQ94="2",BI94,0)</f>
        <v>0</v>
      </c>
      <c r="AH94" s="11">
        <f>IF(AQ94="0",BJ94,0)</f>
        <v>0</v>
      </c>
      <c r="AI94" s="26" t="s">
        <v>76</v>
      </c>
      <c r="AJ94" s="20">
        <f>IF(AN94=0,K94,0)</f>
        <v>0</v>
      </c>
      <c r="AK94" s="20">
        <f>IF(AN94=15,K94,0)</f>
        <v>0</v>
      </c>
      <c r="AL94" s="20">
        <f>IF(AN94=21,K94,0)</f>
        <v>0</v>
      </c>
      <c r="AN94" s="11">
        <v>21</v>
      </c>
      <c r="AO94" s="11">
        <f>H94*0.747009803921569</f>
        <v>0</v>
      </c>
      <c r="AP94" s="11">
        <f>H94*(1-0.747009803921569)</f>
        <v>0</v>
      </c>
      <c r="AQ94" s="27" t="s">
        <v>138</v>
      </c>
      <c r="AV94" s="11">
        <f>AW94+AX94</f>
        <v>0</v>
      </c>
      <c r="AW94" s="11">
        <f>G94*AO94</f>
        <v>0</v>
      </c>
      <c r="AX94" s="11">
        <f>G94*AP94</f>
        <v>0</v>
      </c>
      <c r="AY94" s="29" t="s">
        <v>1081</v>
      </c>
      <c r="AZ94" s="29" t="s">
        <v>1104</v>
      </c>
      <c r="BA94" s="26" t="s">
        <v>1128</v>
      </c>
      <c r="BB94" s="26" t="s">
        <v>1138</v>
      </c>
      <c r="BC94" s="11">
        <f>AW94+AX94</f>
        <v>0</v>
      </c>
      <c r="BD94" s="11">
        <f>H94/(100-BE94)*100</f>
        <v>0</v>
      </c>
      <c r="BE94" s="11">
        <v>0</v>
      </c>
      <c r="BF94" s="11">
        <f>L94</f>
        <v>188</v>
      </c>
      <c r="BH94" s="20">
        <f>G94*AO94</f>
        <v>0</v>
      </c>
      <c r="BI94" s="20">
        <f>G94*AP94</f>
        <v>0</v>
      </c>
      <c r="BJ94" s="20">
        <f>G94*H94</f>
        <v>0</v>
      </c>
      <c r="BK94" s="20" t="s">
        <v>1164</v>
      </c>
      <c r="BL94" s="11">
        <v>64</v>
      </c>
    </row>
    <row r="95" spans="1:64" x14ac:dyDescent="0.2">
      <c r="A95" s="35"/>
      <c r="B95" s="86" t="s">
        <v>354</v>
      </c>
      <c r="C95" s="196" t="s">
        <v>568</v>
      </c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32"/>
    </row>
    <row r="96" spans="1:64" x14ac:dyDescent="0.2">
      <c r="A96" s="35"/>
      <c r="B96" s="36"/>
      <c r="C96" s="81" t="s">
        <v>569</v>
      </c>
      <c r="D96" s="36"/>
      <c r="E96" s="82" t="s">
        <v>931</v>
      </c>
      <c r="F96" s="36"/>
      <c r="G96" s="83">
        <v>2</v>
      </c>
      <c r="H96" s="36"/>
      <c r="I96" s="36"/>
      <c r="J96" s="36"/>
      <c r="K96" s="36"/>
      <c r="L96" s="36"/>
      <c r="M96" s="35"/>
      <c r="N96" s="32"/>
    </row>
    <row r="97" spans="1:64" x14ac:dyDescent="0.2">
      <c r="A97" s="79" t="s">
        <v>161</v>
      </c>
      <c r="B97" s="79" t="s">
        <v>374</v>
      </c>
      <c r="C97" s="194" t="s">
        <v>570</v>
      </c>
      <c r="D97" s="195"/>
      <c r="E97" s="195"/>
      <c r="F97" s="79" t="s">
        <v>1047</v>
      </c>
      <c r="G97" s="80">
        <v>1</v>
      </c>
      <c r="H97" s="80">
        <v>0</v>
      </c>
      <c r="I97" s="80">
        <f>G97*AO97</f>
        <v>0</v>
      </c>
      <c r="J97" s="80">
        <f>G97*AP97</f>
        <v>0</v>
      </c>
      <c r="K97" s="80">
        <f>G97*H97</f>
        <v>0</v>
      </c>
      <c r="L97" s="80">
        <f>G97*97</f>
        <v>97</v>
      </c>
      <c r="M97" s="94" t="s">
        <v>1066</v>
      </c>
      <c r="N97" s="32"/>
      <c r="Z97" s="11">
        <f>IF(AQ97="5",BJ97,0)</f>
        <v>0</v>
      </c>
      <c r="AB97" s="11">
        <f>IF(AQ97="1",BH97,0)</f>
        <v>0</v>
      </c>
      <c r="AC97" s="11">
        <f>IF(AQ97="1",BI97,0)</f>
        <v>0</v>
      </c>
      <c r="AD97" s="11">
        <f>IF(AQ97="7",BH97,0)</f>
        <v>0</v>
      </c>
      <c r="AE97" s="11">
        <f>IF(AQ97="7",BI97,0)</f>
        <v>0</v>
      </c>
      <c r="AF97" s="11">
        <f>IF(AQ97="2",BH97,0)</f>
        <v>0</v>
      </c>
      <c r="AG97" s="11">
        <f>IF(AQ97="2",BI97,0)</f>
        <v>0</v>
      </c>
      <c r="AH97" s="11">
        <f>IF(AQ97="0",BJ97,0)</f>
        <v>0</v>
      </c>
      <c r="AI97" s="26" t="s">
        <v>76</v>
      </c>
      <c r="AJ97" s="20">
        <f>IF(AN97=0,K97,0)</f>
        <v>0</v>
      </c>
      <c r="AK97" s="20">
        <f>IF(AN97=15,K97,0)</f>
        <v>0</v>
      </c>
      <c r="AL97" s="20">
        <f>IF(AN97=21,K97,0)</f>
        <v>0</v>
      </c>
      <c r="AN97" s="11">
        <v>21</v>
      </c>
      <c r="AO97" s="11">
        <f>H97*0.569852380952381</f>
        <v>0</v>
      </c>
      <c r="AP97" s="11">
        <f>H97*(1-0.569852380952381)</f>
        <v>0</v>
      </c>
      <c r="AQ97" s="27" t="s">
        <v>138</v>
      </c>
      <c r="AV97" s="11">
        <f>AW97+AX97</f>
        <v>0</v>
      </c>
      <c r="AW97" s="11">
        <f>G97*AO97</f>
        <v>0</v>
      </c>
      <c r="AX97" s="11">
        <f>G97*AP97</f>
        <v>0</v>
      </c>
      <c r="AY97" s="29" t="s">
        <v>1081</v>
      </c>
      <c r="AZ97" s="29" t="s">
        <v>1104</v>
      </c>
      <c r="BA97" s="26" t="s">
        <v>1128</v>
      </c>
      <c r="BB97" s="26" t="s">
        <v>1138</v>
      </c>
      <c r="BC97" s="11">
        <f>AW97+AX97</f>
        <v>0</v>
      </c>
      <c r="BD97" s="11">
        <f>H97/(100-BE97)*100</f>
        <v>0</v>
      </c>
      <c r="BE97" s="11">
        <v>0</v>
      </c>
      <c r="BF97" s="11">
        <f>L97</f>
        <v>97</v>
      </c>
      <c r="BH97" s="20">
        <f>G97*AO97</f>
        <v>0</v>
      </c>
      <c r="BI97" s="20">
        <f>G97*AP97</f>
        <v>0</v>
      </c>
      <c r="BJ97" s="20">
        <f>G97*H97</f>
        <v>0</v>
      </c>
      <c r="BK97" s="20" t="s">
        <v>1164</v>
      </c>
      <c r="BL97" s="11">
        <v>64</v>
      </c>
    </row>
    <row r="98" spans="1:64" x14ac:dyDescent="0.2">
      <c r="A98" s="35"/>
      <c r="B98" s="86" t="s">
        <v>354</v>
      </c>
      <c r="C98" s="196" t="s">
        <v>571</v>
      </c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32"/>
    </row>
    <row r="99" spans="1:64" x14ac:dyDescent="0.2">
      <c r="A99" s="35"/>
      <c r="B99" s="36"/>
      <c r="C99" s="81" t="s">
        <v>138</v>
      </c>
      <c r="D99" s="36"/>
      <c r="E99" s="82" t="s">
        <v>932</v>
      </c>
      <c r="F99" s="36"/>
      <c r="G99" s="83">
        <v>1</v>
      </c>
      <c r="H99" s="36"/>
      <c r="I99" s="36"/>
      <c r="J99" s="36"/>
      <c r="K99" s="36"/>
      <c r="L99" s="36"/>
      <c r="M99" s="35"/>
      <c r="N99" s="32"/>
    </row>
    <row r="100" spans="1:64" x14ac:dyDescent="0.2">
      <c r="A100" s="77"/>
      <c r="B100" s="76" t="s">
        <v>89</v>
      </c>
      <c r="C100" s="204" t="s">
        <v>115</v>
      </c>
      <c r="D100" s="205"/>
      <c r="E100" s="205"/>
      <c r="F100" s="77" t="s">
        <v>60</v>
      </c>
      <c r="G100" s="77" t="s">
        <v>60</v>
      </c>
      <c r="H100" s="77" t="s">
        <v>60</v>
      </c>
      <c r="I100" s="78">
        <f>SUM(I101:I102)</f>
        <v>0</v>
      </c>
      <c r="J100" s="78">
        <f>SUM(J101:J102)</f>
        <v>0</v>
      </c>
      <c r="K100" s="78">
        <f>SUM(K101:K102)</f>
        <v>0</v>
      </c>
      <c r="L100" s="78">
        <f>SUM(L101:L102)</f>
        <v>203</v>
      </c>
      <c r="M100" s="93"/>
      <c r="N100" s="32"/>
      <c r="AI100" s="26" t="s">
        <v>76</v>
      </c>
      <c r="AS100" s="31">
        <f>SUM(AJ101:AJ102)</f>
        <v>0</v>
      </c>
      <c r="AT100" s="31">
        <f>SUM(AK101:AK102)</f>
        <v>0</v>
      </c>
      <c r="AU100" s="31">
        <f>SUM(AL101:AL102)</f>
        <v>0</v>
      </c>
    </row>
    <row r="101" spans="1:64" x14ac:dyDescent="0.2">
      <c r="A101" s="79" t="s">
        <v>162</v>
      </c>
      <c r="B101" s="79" t="s">
        <v>375</v>
      </c>
      <c r="C101" s="194" t="s">
        <v>572</v>
      </c>
      <c r="D101" s="195"/>
      <c r="E101" s="195"/>
      <c r="F101" s="79" t="s">
        <v>1052</v>
      </c>
      <c r="G101" s="80">
        <v>1</v>
      </c>
      <c r="H101" s="80">
        <v>0</v>
      </c>
      <c r="I101" s="80">
        <f>G101*AO101</f>
        <v>0</v>
      </c>
      <c r="J101" s="80">
        <f>G101*AP101</f>
        <v>0</v>
      </c>
      <c r="K101" s="80">
        <f>G101*H101</f>
        <v>0</v>
      </c>
      <c r="L101" s="80">
        <f>G101*101</f>
        <v>101</v>
      </c>
      <c r="M101" s="94" t="s">
        <v>1066</v>
      </c>
      <c r="N101" s="32"/>
      <c r="Z101" s="11">
        <f>IF(AQ101="5",BJ101,0)</f>
        <v>0</v>
      </c>
      <c r="AB101" s="11">
        <f>IF(AQ101="1",BH101,0)</f>
        <v>0</v>
      </c>
      <c r="AC101" s="11">
        <f>IF(AQ101="1",BI101,0)</f>
        <v>0</v>
      </c>
      <c r="AD101" s="11">
        <f>IF(AQ101="7",BH101,0)</f>
        <v>0</v>
      </c>
      <c r="AE101" s="11">
        <f>IF(AQ101="7",BI101,0)</f>
        <v>0</v>
      </c>
      <c r="AF101" s="11">
        <f>IF(AQ101="2",BH101,0)</f>
        <v>0</v>
      </c>
      <c r="AG101" s="11">
        <f>IF(AQ101="2",BI101,0)</f>
        <v>0</v>
      </c>
      <c r="AH101" s="11">
        <f>IF(AQ101="0",BJ101,0)</f>
        <v>0</v>
      </c>
      <c r="AI101" s="26" t="s">
        <v>76</v>
      </c>
      <c r="AJ101" s="20">
        <f>IF(AN101=0,K101,0)</f>
        <v>0</v>
      </c>
      <c r="AK101" s="20">
        <f>IF(AN101=15,K101,0)</f>
        <v>0</v>
      </c>
      <c r="AL101" s="20">
        <f>IF(AN101=21,K101,0)</f>
        <v>0</v>
      </c>
      <c r="AN101" s="11">
        <v>21</v>
      </c>
      <c r="AO101" s="11">
        <f>H101*0.698130177514793</f>
        <v>0</v>
      </c>
      <c r="AP101" s="11">
        <f>H101*(1-0.698130177514793)</f>
        <v>0</v>
      </c>
      <c r="AQ101" s="27" t="s">
        <v>144</v>
      </c>
      <c r="AV101" s="11">
        <f>AW101+AX101</f>
        <v>0</v>
      </c>
      <c r="AW101" s="11">
        <f>G101*AO101</f>
        <v>0</v>
      </c>
      <c r="AX101" s="11">
        <f>G101*AP101</f>
        <v>0</v>
      </c>
      <c r="AY101" s="29" t="s">
        <v>1082</v>
      </c>
      <c r="AZ101" s="29" t="s">
        <v>1105</v>
      </c>
      <c r="BA101" s="26" t="s">
        <v>1128</v>
      </c>
      <c r="BB101" s="26" t="s">
        <v>1139</v>
      </c>
      <c r="BC101" s="11">
        <f>AW101+AX101</f>
        <v>0</v>
      </c>
      <c r="BD101" s="11">
        <f>H101/(100-BE101)*100</f>
        <v>0</v>
      </c>
      <c r="BE101" s="11">
        <v>0</v>
      </c>
      <c r="BF101" s="11">
        <f>L101</f>
        <v>101</v>
      </c>
      <c r="BH101" s="20">
        <f>G101*AO101</f>
        <v>0</v>
      </c>
      <c r="BI101" s="20">
        <f>G101*AP101</f>
        <v>0</v>
      </c>
      <c r="BJ101" s="20">
        <f>G101*H101</f>
        <v>0</v>
      </c>
      <c r="BK101" s="20" t="s">
        <v>1164</v>
      </c>
      <c r="BL101" s="11">
        <v>725</v>
      </c>
    </row>
    <row r="102" spans="1:64" x14ac:dyDescent="0.2">
      <c r="A102" s="84" t="s">
        <v>163</v>
      </c>
      <c r="B102" s="84" t="s">
        <v>376</v>
      </c>
      <c r="C102" s="198" t="s">
        <v>573</v>
      </c>
      <c r="D102" s="199"/>
      <c r="E102" s="199"/>
      <c r="F102" s="84" t="s">
        <v>1047</v>
      </c>
      <c r="G102" s="85">
        <v>1</v>
      </c>
      <c r="H102" s="85">
        <v>0</v>
      </c>
      <c r="I102" s="85">
        <f>G102*AO102</f>
        <v>0</v>
      </c>
      <c r="J102" s="85">
        <f>G102*AP102</f>
        <v>0</v>
      </c>
      <c r="K102" s="85">
        <f>G102*H102</f>
        <v>0</v>
      </c>
      <c r="L102" s="85">
        <f>G102*102</f>
        <v>102</v>
      </c>
      <c r="M102" s="95" t="s">
        <v>1066</v>
      </c>
      <c r="N102" s="32"/>
      <c r="Z102" s="11">
        <f>IF(AQ102="5",BJ102,0)</f>
        <v>0</v>
      </c>
      <c r="AB102" s="11">
        <f>IF(AQ102="1",BH102,0)</f>
        <v>0</v>
      </c>
      <c r="AC102" s="11">
        <f>IF(AQ102="1",BI102,0)</f>
        <v>0</v>
      </c>
      <c r="AD102" s="11">
        <f>IF(AQ102="7",BH102,0)</f>
        <v>0</v>
      </c>
      <c r="AE102" s="11">
        <f>IF(AQ102="7",BI102,0)</f>
        <v>0</v>
      </c>
      <c r="AF102" s="11">
        <f>IF(AQ102="2",BH102,0)</f>
        <v>0</v>
      </c>
      <c r="AG102" s="11">
        <f>IF(AQ102="2",BI102,0)</f>
        <v>0</v>
      </c>
      <c r="AH102" s="11">
        <f>IF(AQ102="0",BJ102,0)</f>
        <v>0</v>
      </c>
      <c r="AI102" s="26" t="s">
        <v>76</v>
      </c>
      <c r="AJ102" s="21">
        <f>IF(AN102=0,K102,0)</f>
        <v>0</v>
      </c>
      <c r="AK102" s="21">
        <f>IF(AN102=15,K102,0)</f>
        <v>0</v>
      </c>
      <c r="AL102" s="21">
        <f>IF(AN102=21,K102,0)</f>
        <v>0</v>
      </c>
      <c r="AN102" s="11">
        <v>21</v>
      </c>
      <c r="AO102" s="11">
        <f>H102*1</f>
        <v>0</v>
      </c>
      <c r="AP102" s="11">
        <f>H102*(1-1)</f>
        <v>0</v>
      </c>
      <c r="AQ102" s="28" t="s">
        <v>144</v>
      </c>
      <c r="AV102" s="11">
        <f>AW102+AX102</f>
        <v>0</v>
      </c>
      <c r="AW102" s="11">
        <f>G102*AO102</f>
        <v>0</v>
      </c>
      <c r="AX102" s="11">
        <f>G102*AP102</f>
        <v>0</v>
      </c>
      <c r="AY102" s="29" t="s">
        <v>1082</v>
      </c>
      <c r="AZ102" s="29" t="s">
        <v>1105</v>
      </c>
      <c r="BA102" s="26" t="s">
        <v>1128</v>
      </c>
      <c r="BC102" s="11">
        <f>AW102+AX102</f>
        <v>0</v>
      </c>
      <c r="BD102" s="11">
        <f>H102/(100-BE102)*100</f>
        <v>0</v>
      </c>
      <c r="BE102" s="11">
        <v>0</v>
      </c>
      <c r="BF102" s="11">
        <f>L102</f>
        <v>102</v>
      </c>
      <c r="BH102" s="21">
        <f>G102*AO102</f>
        <v>0</v>
      </c>
      <c r="BI102" s="21">
        <f>G102*AP102</f>
        <v>0</v>
      </c>
      <c r="BJ102" s="21">
        <f>G102*H102</f>
        <v>0</v>
      </c>
      <c r="BK102" s="21" t="s">
        <v>1165</v>
      </c>
      <c r="BL102" s="11">
        <v>725</v>
      </c>
    </row>
    <row r="103" spans="1:64" x14ac:dyDescent="0.2">
      <c r="A103" s="77"/>
      <c r="B103" s="76" t="s">
        <v>90</v>
      </c>
      <c r="C103" s="204" t="s">
        <v>116</v>
      </c>
      <c r="D103" s="205"/>
      <c r="E103" s="205"/>
      <c r="F103" s="77" t="s">
        <v>60</v>
      </c>
      <c r="G103" s="77" t="s">
        <v>60</v>
      </c>
      <c r="H103" s="77" t="s">
        <v>60</v>
      </c>
      <c r="I103" s="78">
        <f>SUM(I104:I119)</f>
        <v>0</v>
      </c>
      <c r="J103" s="78">
        <f>SUM(J104:J119)</f>
        <v>0</v>
      </c>
      <c r="K103" s="78">
        <f>SUM(K104:K119)</f>
        <v>0</v>
      </c>
      <c r="L103" s="78">
        <f>SUM(L104:L119)</f>
        <v>11176.7</v>
      </c>
      <c r="M103" s="93"/>
      <c r="N103" s="32"/>
      <c r="AI103" s="26" t="s">
        <v>76</v>
      </c>
      <c r="AS103" s="31">
        <f>SUM(AJ104:AJ119)</f>
        <v>0</v>
      </c>
      <c r="AT103" s="31">
        <f>SUM(AK104:AK119)</f>
        <v>0</v>
      </c>
      <c r="AU103" s="31">
        <f>SUM(AL104:AL119)</f>
        <v>0</v>
      </c>
    </row>
    <row r="104" spans="1:64" x14ac:dyDescent="0.2">
      <c r="A104" s="79" t="s">
        <v>164</v>
      </c>
      <c r="B104" s="79" t="s">
        <v>377</v>
      </c>
      <c r="C104" s="194" t="s">
        <v>574</v>
      </c>
      <c r="D104" s="195"/>
      <c r="E104" s="195"/>
      <c r="F104" s="79" t="s">
        <v>1050</v>
      </c>
      <c r="G104" s="80">
        <v>48.18</v>
      </c>
      <c r="H104" s="80">
        <v>0</v>
      </c>
      <c r="I104" s="80">
        <f>G104*AO104</f>
        <v>0</v>
      </c>
      <c r="J104" s="80">
        <f>G104*AP104</f>
        <v>0</v>
      </c>
      <c r="K104" s="80">
        <f>G104*H104</f>
        <v>0</v>
      </c>
      <c r="L104" s="80">
        <f>G104*104</f>
        <v>5010.72</v>
      </c>
      <c r="M104" s="94" t="s">
        <v>1066</v>
      </c>
      <c r="N104" s="32"/>
      <c r="Z104" s="11">
        <f>IF(AQ104="5",BJ104,0)</f>
        <v>0</v>
      </c>
      <c r="AB104" s="11">
        <f>IF(AQ104="1",BH104,0)</f>
        <v>0</v>
      </c>
      <c r="AC104" s="11">
        <f>IF(AQ104="1",BI104,0)</f>
        <v>0</v>
      </c>
      <c r="AD104" s="11">
        <f>IF(AQ104="7",BH104,0)</f>
        <v>0</v>
      </c>
      <c r="AE104" s="11">
        <f>IF(AQ104="7",BI104,0)</f>
        <v>0</v>
      </c>
      <c r="AF104" s="11">
        <f>IF(AQ104="2",BH104,0)</f>
        <v>0</v>
      </c>
      <c r="AG104" s="11">
        <f>IF(AQ104="2",BI104,0)</f>
        <v>0</v>
      </c>
      <c r="AH104" s="11">
        <f>IF(AQ104="0",BJ104,0)</f>
        <v>0</v>
      </c>
      <c r="AI104" s="26" t="s">
        <v>76</v>
      </c>
      <c r="AJ104" s="20">
        <f>IF(AN104=0,K104,0)</f>
        <v>0</v>
      </c>
      <c r="AK104" s="20">
        <f>IF(AN104=15,K104,0)</f>
        <v>0</v>
      </c>
      <c r="AL104" s="20">
        <f>IF(AN104=21,K104,0)</f>
        <v>0</v>
      </c>
      <c r="AN104" s="11">
        <v>21</v>
      </c>
      <c r="AO104" s="11">
        <f>H104*0</f>
        <v>0</v>
      </c>
      <c r="AP104" s="11">
        <f>H104*(1-0)</f>
        <v>0</v>
      </c>
      <c r="AQ104" s="27" t="s">
        <v>144</v>
      </c>
      <c r="AV104" s="11">
        <f>AW104+AX104</f>
        <v>0</v>
      </c>
      <c r="AW104" s="11">
        <f>G104*AO104</f>
        <v>0</v>
      </c>
      <c r="AX104" s="11">
        <f>G104*AP104</f>
        <v>0</v>
      </c>
      <c r="AY104" s="29" t="s">
        <v>1083</v>
      </c>
      <c r="AZ104" s="29" t="s">
        <v>1106</v>
      </c>
      <c r="BA104" s="26" t="s">
        <v>1128</v>
      </c>
      <c r="BB104" s="26" t="s">
        <v>1140</v>
      </c>
      <c r="BC104" s="11">
        <f>AW104+AX104</f>
        <v>0</v>
      </c>
      <c r="BD104" s="11">
        <f>H104/(100-BE104)*100</f>
        <v>0</v>
      </c>
      <c r="BE104" s="11">
        <v>0</v>
      </c>
      <c r="BF104" s="11">
        <f>L104</f>
        <v>5010.72</v>
      </c>
      <c r="BH104" s="20">
        <f>G104*AO104</f>
        <v>0</v>
      </c>
      <c r="BI104" s="20">
        <f>G104*AP104</f>
        <v>0</v>
      </c>
      <c r="BJ104" s="20">
        <f>G104*H104</f>
        <v>0</v>
      </c>
      <c r="BK104" s="20" t="s">
        <v>1164</v>
      </c>
      <c r="BL104" s="11">
        <v>766</v>
      </c>
    </row>
    <row r="105" spans="1:64" x14ac:dyDescent="0.2">
      <c r="A105" s="35"/>
      <c r="B105" s="86" t="s">
        <v>354</v>
      </c>
      <c r="C105" s="196" t="s">
        <v>575</v>
      </c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32"/>
    </row>
    <row r="106" spans="1:64" x14ac:dyDescent="0.2">
      <c r="A106" s="35"/>
      <c r="B106" s="36"/>
      <c r="C106" s="81" t="s">
        <v>576</v>
      </c>
      <c r="D106" s="36"/>
      <c r="E106" s="82" t="s">
        <v>933</v>
      </c>
      <c r="F106" s="36"/>
      <c r="G106" s="83">
        <v>18.59</v>
      </c>
      <c r="H106" s="36"/>
      <c r="I106" s="36"/>
      <c r="J106" s="36"/>
      <c r="K106" s="36"/>
      <c r="L106" s="36"/>
      <c r="M106" s="35"/>
      <c r="N106" s="32"/>
    </row>
    <row r="107" spans="1:64" x14ac:dyDescent="0.2">
      <c r="A107" s="35"/>
      <c r="B107" s="36"/>
      <c r="C107" s="81" t="s">
        <v>577</v>
      </c>
      <c r="D107" s="36"/>
      <c r="E107" s="82" t="s">
        <v>934</v>
      </c>
      <c r="F107" s="36"/>
      <c r="G107" s="83">
        <v>-6.3140000000000001</v>
      </c>
      <c r="H107" s="36"/>
      <c r="I107" s="36"/>
      <c r="J107" s="36"/>
      <c r="K107" s="36"/>
      <c r="L107" s="36"/>
      <c r="M107" s="35"/>
      <c r="N107" s="32"/>
    </row>
    <row r="108" spans="1:64" x14ac:dyDescent="0.2">
      <c r="A108" s="35"/>
      <c r="B108" s="36"/>
      <c r="C108" s="81" t="s">
        <v>578</v>
      </c>
      <c r="D108" s="36"/>
      <c r="E108" s="82" t="s">
        <v>904</v>
      </c>
      <c r="F108" s="36"/>
      <c r="G108" s="83">
        <v>17.995999999999999</v>
      </c>
      <c r="H108" s="36"/>
      <c r="I108" s="36"/>
      <c r="J108" s="36"/>
      <c r="K108" s="36"/>
      <c r="L108" s="36"/>
      <c r="M108" s="35"/>
      <c r="N108" s="32"/>
    </row>
    <row r="109" spans="1:64" x14ac:dyDescent="0.2">
      <c r="A109" s="35"/>
      <c r="B109" s="36"/>
      <c r="C109" s="81" t="s">
        <v>579</v>
      </c>
      <c r="D109" s="36"/>
      <c r="E109" s="82" t="s">
        <v>905</v>
      </c>
      <c r="F109" s="36"/>
      <c r="G109" s="83">
        <v>23.077999999999999</v>
      </c>
      <c r="H109" s="36"/>
      <c r="I109" s="36"/>
      <c r="J109" s="36"/>
      <c r="K109" s="36"/>
      <c r="L109" s="36"/>
      <c r="M109" s="35"/>
      <c r="N109" s="32"/>
    </row>
    <row r="110" spans="1:64" x14ac:dyDescent="0.2">
      <c r="A110" s="35"/>
      <c r="B110" s="36"/>
      <c r="C110" s="81" t="s">
        <v>580</v>
      </c>
      <c r="D110" s="36"/>
      <c r="E110" s="82" t="s">
        <v>934</v>
      </c>
      <c r="F110" s="36"/>
      <c r="G110" s="83">
        <v>-5.17</v>
      </c>
      <c r="H110" s="36"/>
      <c r="I110" s="36"/>
      <c r="J110" s="36"/>
      <c r="K110" s="36"/>
      <c r="L110" s="36"/>
      <c r="M110" s="35"/>
      <c r="N110" s="32"/>
    </row>
    <row r="111" spans="1:64" x14ac:dyDescent="0.2">
      <c r="A111" s="79" t="s">
        <v>165</v>
      </c>
      <c r="B111" s="79" t="s">
        <v>378</v>
      </c>
      <c r="C111" s="194" t="s">
        <v>581</v>
      </c>
      <c r="D111" s="195"/>
      <c r="E111" s="195"/>
      <c r="F111" s="79" t="s">
        <v>1050</v>
      </c>
      <c r="G111" s="80">
        <v>48.18</v>
      </c>
      <c r="H111" s="80">
        <v>0</v>
      </c>
      <c r="I111" s="80">
        <f>G111*AO111</f>
        <v>0</v>
      </c>
      <c r="J111" s="80">
        <f>G111*AP111</f>
        <v>0</v>
      </c>
      <c r="K111" s="80">
        <f>G111*H111</f>
        <v>0</v>
      </c>
      <c r="L111" s="80">
        <f>G111*111</f>
        <v>5347.98</v>
      </c>
      <c r="M111" s="94" t="s">
        <v>1066</v>
      </c>
      <c r="N111" s="32"/>
      <c r="Z111" s="11">
        <f>IF(AQ111="5",BJ111,0)</f>
        <v>0</v>
      </c>
      <c r="AB111" s="11">
        <f>IF(AQ111="1",BH111,0)</f>
        <v>0</v>
      </c>
      <c r="AC111" s="11">
        <f>IF(AQ111="1",BI111,0)</f>
        <v>0</v>
      </c>
      <c r="AD111" s="11">
        <f>IF(AQ111="7",BH111,0)</f>
        <v>0</v>
      </c>
      <c r="AE111" s="11">
        <f>IF(AQ111="7",BI111,0)</f>
        <v>0</v>
      </c>
      <c r="AF111" s="11">
        <f>IF(AQ111="2",BH111,0)</f>
        <v>0</v>
      </c>
      <c r="AG111" s="11">
        <f>IF(AQ111="2",BI111,0)</f>
        <v>0</v>
      </c>
      <c r="AH111" s="11">
        <f>IF(AQ111="0",BJ111,0)</f>
        <v>0</v>
      </c>
      <c r="AI111" s="26" t="s">
        <v>76</v>
      </c>
      <c r="AJ111" s="20">
        <f>IF(AN111=0,K111,0)</f>
        <v>0</v>
      </c>
      <c r="AK111" s="20">
        <f>IF(AN111=15,K111,0)</f>
        <v>0</v>
      </c>
      <c r="AL111" s="20">
        <f>IF(AN111=21,K111,0)</f>
        <v>0</v>
      </c>
      <c r="AN111" s="11">
        <v>21</v>
      </c>
      <c r="AO111" s="11">
        <f>H111*0</f>
        <v>0</v>
      </c>
      <c r="AP111" s="11">
        <f>H111*(1-0)</f>
        <v>0</v>
      </c>
      <c r="AQ111" s="27" t="s">
        <v>144</v>
      </c>
      <c r="AV111" s="11">
        <f>AW111+AX111</f>
        <v>0</v>
      </c>
      <c r="AW111" s="11">
        <f>G111*AO111</f>
        <v>0</v>
      </c>
      <c r="AX111" s="11">
        <f>G111*AP111</f>
        <v>0</v>
      </c>
      <c r="AY111" s="29" t="s">
        <v>1083</v>
      </c>
      <c r="AZ111" s="29" t="s">
        <v>1106</v>
      </c>
      <c r="BA111" s="26" t="s">
        <v>1128</v>
      </c>
      <c r="BB111" s="26" t="s">
        <v>1140</v>
      </c>
      <c r="BC111" s="11">
        <f>AW111+AX111</f>
        <v>0</v>
      </c>
      <c r="BD111" s="11">
        <f>H111/(100-BE111)*100</f>
        <v>0</v>
      </c>
      <c r="BE111" s="11">
        <v>0</v>
      </c>
      <c r="BF111" s="11">
        <f>L111</f>
        <v>5347.98</v>
      </c>
      <c r="BH111" s="20">
        <f>G111*AO111</f>
        <v>0</v>
      </c>
      <c r="BI111" s="20">
        <f>G111*AP111</f>
        <v>0</v>
      </c>
      <c r="BJ111" s="20">
        <f>G111*H111</f>
        <v>0</v>
      </c>
      <c r="BK111" s="20" t="s">
        <v>1164</v>
      </c>
      <c r="BL111" s="11">
        <v>766</v>
      </c>
    </row>
    <row r="112" spans="1:64" x14ac:dyDescent="0.2">
      <c r="A112" s="35"/>
      <c r="B112" s="36"/>
      <c r="C112" s="81" t="s">
        <v>582</v>
      </c>
      <c r="D112" s="36"/>
      <c r="E112" s="82"/>
      <c r="F112" s="36"/>
      <c r="G112" s="83">
        <v>48.18</v>
      </c>
      <c r="H112" s="36"/>
      <c r="I112" s="36"/>
      <c r="J112" s="36"/>
      <c r="K112" s="36"/>
      <c r="L112" s="36"/>
      <c r="M112" s="35"/>
      <c r="N112" s="32"/>
    </row>
    <row r="113" spans="1:64" x14ac:dyDescent="0.2">
      <c r="A113" s="79" t="s">
        <v>166</v>
      </c>
      <c r="B113" s="79" t="s">
        <v>379</v>
      </c>
      <c r="C113" s="194" t="s">
        <v>583</v>
      </c>
      <c r="D113" s="195"/>
      <c r="E113" s="195"/>
      <c r="F113" s="79" t="s">
        <v>1047</v>
      </c>
      <c r="G113" s="80">
        <v>1</v>
      </c>
      <c r="H113" s="80">
        <v>0</v>
      </c>
      <c r="I113" s="80">
        <f>G113*AO113</f>
        <v>0</v>
      </c>
      <c r="J113" s="80">
        <f>G113*AP113</f>
        <v>0</v>
      </c>
      <c r="K113" s="80">
        <f>G113*H113</f>
        <v>0</v>
      </c>
      <c r="L113" s="80">
        <f>G113*113</f>
        <v>113</v>
      </c>
      <c r="M113" s="94" t="s">
        <v>1066</v>
      </c>
      <c r="N113" s="32"/>
      <c r="Z113" s="11">
        <f>IF(AQ113="5",BJ113,0)</f>
        <v>0</v>
      </c>
      <c r="AB113" s="11">
        <f>IF(AQ113="1",BH113,0)</f>
        <v>0</v>
      </c>
      <c r="AC113" s="11">
        <f>IF(AQ113="1",BI113,0)</f>
        <v>0</v>
      </c>
      <c r="AD113" s="11">
        <f>IF(AQ113="7",BH113,0)</f>
        <v>0</v>
      </c>
      <c r="AE113" s="11">
        <f>IF(AQ113="7",BI113,0)</f>
        <v>0</v>
      </c>
      <c r="AF113" s="11">
        <f>IF(AQ113="2",BH113,0)</f>
        <v>0</v>
      </c>
      <c r="AG113" s="11">
        <f>IF(AQ113="2",BI113,0)</f>
        <v>0</v>
      </c>
      <c r="AH113" s="11">
        <f>IF(AQ113="0",BJ113,0)</f>
        <v>0</v>
      </c>
      <c r="AI113" s="26" t="s">
        <v>76</v>
      </c>
      <c r="AJ113" s="20">
        <f>IF(AN113=0,K113,0)</f>
        <v>0</v>
      </c>
      <c r="AK113" s="20">
        <f>IF(AN113=15,K113,0)</f>
        <v>0</v>
      </c>
      <c r="AL113" s="20">
        <f>IF(AN113=21,K113,0)</f>
        <v>0</v>
      </c>
      <c r="AN113" s="11">
        <v>21</v>
      </c>
      <c r="AO113" s="11">
        <f>H113*0</f>
        <v>0</v>
      </c>
      <c r="AP113" s="11">
        <f>H113*(1-0)</f>
        <v>0</v>
      </c>
      <c r="AQ113" s="27" t="s">
        <v>144</v>
      </c>
      <c r="AV113" s="11">
        <f>AW113+AX113</f>
        <v>0</v>
      </c>
      <c r="AW113" s="11">
        <f>G113*AO113</f>
        <v>0</v>
      </c>
      <c r="AX113" s="11">
        <f>G113*AP113</f>
        <v>0</v>
      </c>
      <c r="AY113" s="29" t="s">
        <v>1083</v>
      </c>
      <c r="AZ113" s="29" t="s">
        <v>1106</v>
      </c>
      <c r="BA113" s="26" t="s">
        <v>1128</v>
      </c>
      <c r="BB113" s="26" t="s">
        <v>1140</v>
      </c>
      <c r="BC113" s="11">
        <f>AW113+AX113</f>
        <v>0</v>
      </c>
      <c r="BD113" s="11">
        <f>H113/(100-BE113)*100</f>
        <v>0</v>
      </c>
      <c r="BE113" s="11">
        <v>0</v>
      </c>
      <c r="BF113" s="11">
        <f>L113</f>
        <v>113</v>
      </c>
      <c r="BH113" s="20">
        <f>G113*AO113</f>
        <v>0</v>
      </c>
      <c r="BI113" s="20">
        <f>G113*AP113</f>
        <v>0</v>
      </c>
      <c r="BJ113" s="20">
        <f>G113*H113</f>
        <v>0</v>
      </c>
      <c r="BK113" s="20" t="s">
        <v>1164</v>
      </c>
      <c r="BL113" s="11">
        <v>766</v>
      </c>
    </row>
    <row r="114" spans="1:64" x14ac:dyDescent="0.2">
      <c r="A114" s="84" t="s">
        <v>167</v>
      </c>
      <c r="B114" s="84" t="s">
        <v>380</v>
      </c>
      <c r="C114" s="198" t="s">
        <v>584</v>
      </c>
      <c r="D114" s="199"/>
      <c r="E114" s="199"/>
      <c r="F114" s="84" t="s">
        <v>1052</v>
      </c>
      <c r="G114" s="85">
        <v>1</v>
      </c>
      <c r="H114" s="85">
        <v>0</v>
      </c>
      <c r="I114" s="85">
        <f>G114*AO114</f>
        <v>0</v>
      </c>
      <c r="J114" s="85">
        <f>G114*AP114</f>
        <v>0</v>
      </c>
      <c r="K114" s="85">
        <f>G114*H114</f>
        <v>0</v>
      </c>
      <c r="L114" s="85">
        <f>G114*114</f>
        <v>114</v>
      </c>
      <c r="M114" s="95" t="s">
        <v>1066</v>
      </c>
      <c r="N114" s="32"/>
      <c r="Z114" s="11">
        <f>IF(AQ114="5",BJ114,0)</f>
        <v>0</v>
      </c>
      <c r="AB114" s="11">
        <f>IF(AQ114="1",BH114,0)</f>
        <v>0</v>
      </c>
      <c r="AC114" s="11">
        <f>IF(AQ114="1",BI114,0)</f>
        <v>0</v>
      </c>
      <c r="AD114" s="11">
        <f>IF(AQ114="7",BH114,0)</f>
        <v>0</v>
      </c>
      <c r="AE114" s="11">
        <f>IF(AQ114="7",BI114,0)</f>
        <v>0</v>
      </c>
      <c r="AF114" s="11">
        <f>IF(AQ114="2",BH114,0)</f>
        <v>0</v>
      </c>
      <c r="AG114" s="11">
        <f>IF(AQ114="2",BI114,0)</f>
        <v>0</v>
      </c>
      <c r="AH114" s="11">
        <f>IF(AQ114="0",BJ114,0)</f>
        <v>0</v>
      </c>
      <c r="AI114" s="26" t="s">
        <v>76</v>
      </c>
      <c r="AJ114" s="21">
        <f>IF(AN114=0,K114,0)</f>
        <v>0</v>
      </c>
      <c r="AK114" s="21">
        <f>IF(AN114=15,K114,0)</f>
        <v>0</v>
      </c>
      <c r="AL114" s="21">
        <f>IF(AN114=21,K114,0)</f>
        <v>0</v>
      </c>
      <c r="AN114" s="11">
        <v>21</v>
      </c>
      <c r="AO114" s="11">
        <f>H114*1</f>
        <v>0</v>
      </c>
      <c r="AP114" s="11">
        <f>H114*(1-1)</f>
        <v>0</v>
      </c>
      <c r="AQ114" s="28" t="s">
        <v>144</v>
      </c>
      <c r="AV114" s="11">
        <f>AW114+AX114</f>
        <v>0</v>
      </c>
      <c r="AW114" s="11">
        <f>G114*AO114</f>
        <v>0</v>
      </c>
      <c r="AX114" s="11">
        <f>G114*AP114</f>
        <v>0</v>
      </c>
      <c r="AY114" s="29" t="s">
        <v>1083</v>
      </c>
      <c r="AZ114" s="29" t="s">
        <v>1106</v>
      </c>
      <c r="BA114" s="26" t="s">
        <v>1128</v>
      </c>
      <c r="BC114" s="11">
        <f>AW114+AX114</f>
        <v>0</v>
      </c>
      <c r="BD114" s="11">
        <f>H114/(100-BE114)*100</f>
        <v>0</v>
      </c>
      <c r="BE114" s="11">
        <v>0</v>
      </c>
      <c r="BF114" s="11">
        <f>L114</f>
        <v>114</v>
      </c>
      <c r="BH114" s="21">
        <f>G114*AO114</f>
        <v>0</v>
      </c>
      <c r="BI114" s="21">
        <f>G114*AP114</f>
        <v>0</v>
      </c>
      <c r="BJ114" s="21">
        <f>G114*H114</f>
        <v>0</v>
      </c>
      <c r="BK114" s="21" t="s">
        <v>1165</v>
      </c>
      <c r="BL114" s="11">
        <v>766</v>
      </c>
    </row>
    <row r="115" spans="1:64" x14ac:dyDescent="0.2">
      <c r="A115" s="35"/>
      <c r="B115" s="36"/>
      <c r="C115" s="81" t="s">
        <v>138</v>
      </c>
      <c r="D115" s="36"/>
      <c r="E115" s="82" t="s">
        <v>935</v>
      </c>
      <c r="F115" s="36"/>
      <c r="G115" s="83">
        <v>1</v>
      </c>
      <c r="H115" s="36"/>
      <c r="I115" s="36"/>
      <c r="J115" s="36"/>
      <c r="K115" s="36"/>
      <c r="L115" s="36"/>
      <c r="M115" s="35"/>
      <c r="N115" s="32"/>
    </row>
    <row r="116" spans="1:64" x14ac:dyDescent="0.2">
      <c r="A116" s="79" t="s">
        <v>84</v>
      </c>
      <c r="B116" s="79" t="s">
        <v>381</v>
      </c>
      <c r="C116" s="194" t="s">
        <v>585</v>
      </c>
      <c r="D116" s="195"/>
      <c r="E116" s="195"/>
      <c r="F116" s="79" t="s">
        <v>1047</v>
      </c>
      <c r="G116" s="80">
        <v>1</v>
      </c>
      <c r="H116" s="80">
        <v>0</v>
      </c>
      <c r="I116" s="80">
        <f>G116*AO116</f>
        <v>0</v>
      </c>
      <c r="J116" s="80">
        <f>G116*AP116</f>
        <v>0</v>
      </c>
      <c r="K116" s="80">
        <f>G116*H116</f>
        <v>0</v>
      </c>
      <c r="L116" s="80">
        <f>G116*116</f>
        <v>116</v>
      </c>
      <c r="M116" s="94" t="s">
        <v>1066</v>
      </c>
      <c r="N116" s="32"/>
      <c r="Z116" s="11">
        <f>IF(AQ116="5",BJ116,0)</f>
        <v>0</v>
      </c>
      <c r="AB116" s="11">
        <f>IF(AQ116="1",BH116,0)</f>
        <v>0</v>
      </c>
      <c r="AC116" s="11">
        <f>IF(AQ116="1",BI116,0)</f>
        <v>0</v>
      </c>
      <c r="AD116" s="11">
        <f>IF(AQ116="7",BH116,0)</f>
        <v>0</v>
      </c>
      <c r="AE116" s="11">
        <f>IF(AQ116="7",BI116,0)</f>
        <v>0</v>
      </c>
      <c r="AF116" s="11">
        <f>IF(AQ116="2",BH116,0)</f>
        <v>0</v>
      </c>
      <c r="AG116" s="11">
        <f>IF(AQ116="2",BI116,0)</f>
        <v>0</v>
      </c>
      <c r="AH116" s="11">
        <f>IF(AQ116="0",BJ116,0)</f>
        <v>0</v>
      </c>
      <c r="AI116" s="26" t="s">
        <v>76</v>
      </c>
      <c r="AJ116" s="20">
        <f>IF(AN116=0,K116,0)</f>
        <v>0</v>
      </c>
      <c r="AK116" s="20">
        <f>IF(AN116=15,K116,0)</f>
        <v>0</v>
      </c>
      <c r="AL116" s="20">
        <f>IF(AN116=21,K116,0)</f>
        <v>0</v>
      </c>
      <c r="AN116" s="11">
        <v>21</v>
      </c>
      <c r="AO116" s="11">
        <f>H116*0.0642441835933874</f>
        <v>0</v>
      </c>
      <c r="AP116" s="11">
        <f>H116*(1-0.0642441835933874)</f>
        <v>0</v>
      </c>
      <c r="AQ116" s="27" t="s">
        <v>144</v>
      </c>
      <c r="AV116" s="11">
        <f>AW116+AX116</f>
        <v>0</v>
      </c>
      <c r="AW116" s="11">
        <f>G116*AO116</f>
        <v>0</v>
      </c>
      <c r="AX116" s="11">
        <f>G116*AP116</f>
        <v>0</v>
      </c>
      <c r="AY116" s="29" t="s">
        <v>1083</v>
      </c>
      <c r="AZ116" s="29" t="s">
        <v>1106</v>
      </c>
      <c r="BA116" s="26" t="s">
        <v>1128</v>
      </c>
      <c r="BB116" s="26" t="s">
        <v>1140</v>
      </c>
      <c r="BC116" s="11">
        <f>AW116+AX116</f>
        <v>0</v>
      </c>
      <c r="BD116" s="11">
        <f>H116/(100-BE116)*100</f>
        <v>0</v>
      </c>
      <c r="BE116" s="11">
        <v>0</v>
      </c>
      <c r="BF116" s="11">
        <f>L116</f>
        <v>116</v>
      </c>
      <c r="BH116" s="20">
        <f>G116*AO116</f>
        <v>0</v>
      </c>
      <c r="BI116" s="20">
        <f>G116*AP116</f>
        <v>0</v>
      </c>
      <c r="BJ116" s="20">
        <f>G116*H116</f>
        <v>0</v>
      </c>
      <c r="BK116" s="20" t="s">
        <v>1164</v>
      </c>
      <c r="BL116" s="11">
        <v>766</v>
      </c>
    </row>
    <row r="117" spans="1:64" x14ac:dyDescent="0.2">
      <c r="A117" s="35"/>
      <c r="B117" s="36"/>
      <c r="C117" s="81" t="s">
        <v>138</v>
      </c>
      <c r="D117" s="36"/>
      <c r="E117" s="82" t="s">
        <v>936</v>
      </c>
      <c r="F117" s="36"/>
      <c r="G117" s="83">
        <v>1</v>
      </c>
      <c r="H117" s="36"/>
      <c r="I117" s="36"/>
      <c r="J117" s="36"/>
      <c r="K117" s="36"/>
      <c r="L117" s="36"/>
      <c r="M117" s="35"/>
      <c r="N117" s="32"/>
    </row>
    <row r="118" spans="1:64" x14ac:dyDescent="0.2">
      <c r="A118" s="84" t="s">
        <v>168</v>
      </c>
      <c r="B118" s="84" t="s">
        <v>382</v>
      </c>
      <c r="C118" s="198" t="s">
        <v>586</v>
      </c>
      <c r="D118" s="199"/>
      <c r="E118" s="199"/>
      <c r="F118" s="84" t="s">
        <v>1047</v>
      </c>
      <c r="G118" s="85">
        <v>1</v>
      </c>
      <c r="H118" s="85">
        <v>0</v>
      </c>
      <c r="I118" s="85">
        <f>G118*AO118</f>
        <v>0</v>
      </c>
      <c r="J118" s="85">
        <f>G118*AP118</f>
        <v>0</v>
      </c>
      <c r="K118" s="85">
        <f>G118*H118</f>
        <v>0</v>
      </c>
      <c r="L118" s="85">
        <f>G118*118</f>
        <v>118</v>
      </c>
      <c r="M118" s="95" t="s">
        <v>1067</v>
      </c>
      <c r="N118" s="32"/>
      <c r="Z118" s="11">
        <f>IF(AQ118="5",BJ118,0)</f>
        <v>0</v>
      </c>
      <c r="AB118" s="11">
        <f>IF(AQ118="1",BH118,0)</f>
        <v>0</v>
      </c>
      <c r="AC118" s="11">
        <f>IF(AQ118="1",BI118,0)</f>
        <v>0</v>
      </c>
      <c r="AD118" s="11">
        <f>IF(AQ118="7",BH118,0)</f>
        <v>0</v>
      </c>
      <c r="AE118" s="11">
        <f>IF(AQ118="7",BI118,0)</f>
        <v>0</v>
      </c>
      <c r="AF118" s="11">
        <f>IF(AQ118="2",BH118,0)</f>
        <v>0</v>
      </c>
      <c r="AG118" s="11">
        <f>IF(AQ118="2",BI118,0)</f>
        <v>0</v>
      </c>
      <c r="AH118" s="11">
        <f>IF(AQ118="0",BJ118,0)</f>
        <v>0</v>
      </c>
      <c r="AI118" s="26" t="s">
        <v>76</v>
      </c>
      <c r="AJ118" s="21">
        <f>IF(AN118=0,K118,0)</f>
        <v>0</v>
      </c>
      <c r="AK118" s="21">
        <f>IF(AN118=15,K118,0)</f>
        <v>0</v>
      </c>
      <c r="AL118" s="21">
        <f>IF(AN118=21,K118,0)</f>
        <v>0</v>
      </c>
      <c r="AN118" s="11">
        <v>21</v>
      </c>
      <c r="AO118" s="11">
        <f>H118*1</f>
        <v>0</v>
      </c>
      <c r="AP118" s="11">
        <f>H118*(1-1)</f>
        <v>0</v>
      </c>
      <c r="AQ118" s="28" t="s">
        <v>144</v>
      </c>
      <c r="AV118" s="11">
        <f>AW118+AX118</f>
        <v>0</v>
      </c>
      <c r="AW118" s="11">
        <f>G118*AO118</f>
        <v>0</v>
      </c>
      <c r="AX118" s="11">
        <f>G118*AP118</f>
        <v>0</v>
      </c>
      <c r="AY118" s="29" t="s">
        <v>1083</v>
      </c>
      <c r="AZ118" s="29" t="s">
        <v>1106</v>
      </c>
      <c r="BA118" s="26" t="s">
        <v>1128</v>
      </c>
      <c r="BC118" s="11">
        <f>AW118+AX118</f>
        <v>0</v>
      </c>
      <c r="BD118" s="11">
        <f>H118/(100-BE118)*100</f>
        <v>0</v>
      </c>
      <c r="BE118" s="11">
        <v>0</v>
      </c>
      <c r="BF118" s="11">
        <f>L118</f>
        <v>118</v>
      </c>
      <c r="BH118" s="21">
        <f>G118*AO118</f>
        <v>0</v>
      </c>
      <c r="BI118" s="21">
        <f>G118*AP118</f>
        <v>0</v>
      </c>
      <c r="BJ118" s="21">
        <f>G118*H118</f>
        <v>0</v>
      </c>
      <c r="BK118" s="21" t="s">
        <v>1165</v>
      </c>
      <c r="BL118" s="11">
        <v>766</v>
      </c>
    </row>
    <row r="119" spans="1:64" x14ac:dyDescent="0.2">
      <c r="A119" s="79" t="s">
        <v>169</v>
      </c>
      <c r="B119" s="79" t="s">
        <v>383</v>
      </c>
      <c r="C119" s="194" t="s">
        <v>587</v>
      </c>
      <c r="D119" s="195"/>
      <c r="E119" s="195"/>
      <c r="F119" s="79" t="s">
        <v>1047</v>
      </c>
      <c r="G119" s="80">
        <v>3</v>
      </c>
      <c r="H119" s="80">
        <v>0</v>
      </c>
      <c r="I119" s="80">
        <f>G119*AO119</f>
        <v>0</v>
      </c>
      <c r="J119" s="80">
        <f>G119*AP119</f>
        <v>0</v>
      </c>
      <c r="K119" s="80">
        <f>G119*H119</f>
        <v>0</v>
      </c>
      <c r="L119" s="80">
        <f>G119*119</f>
        <v>357</v>
      </c>
      <c r="M119" s="94" t="s">
        <v>1066</v>
      </c>
      <c r="N119" s="32"/>
      <c r="Z119" s="11">
        <f>IF(AQ119="5",BJ119,0)</f>
        <v>0</v>
      </c>
      <c r="AB119" s="11">
        <f>IF(AQ119="1",BH119,0)</f>
        <v>0</v>
      </c>
      <c r="AC119" s="11">
        <f>IF(AQ119="1",BI119,0)</f>
        <v>0</v>
      </c>
      <c r="AD119" s="11">
        <f>IF(AQ119="7",BH119,0)</f>
        <v>0</v>
      </c>
      <c r="AE119" s="11">
        <f>IF(AQ119="7",BI119,0)</f>
        <v>0</v>
      </c>
      <c r="AF119" s="11">
        <f>IF(AQ119="2",BH119,0)</f>
        <v>0</v>
      </c>
      <c r="AG119" s="11">
        <f>IF(AQ119="2",BI119,0)</f>
        <v>0</v>
      </c>
      <c r="AH119" s="11">
        <f>IF(AQ119="0",BJ119,0)</f>
        <v>0</v>
      </c>
      <c r="AI119" s="26" t="s">
        <v>76</v>
      </c>
      <c r="AJ119" s="20">
        <f>IF(AN119=0,K119,0)</f>
        <v>0</v>
      </c>
      <c r="AK119" s="20">
        <f>IF(AN119=15,K119,0)</f>
        <v>0</v>
      </c>
      <c r="AL119" s="20">
        <f>IF(AN119=21,K119,0)</f>
        <v>0</v>
      </c>
      <c r="AN119" s="11">
        <v>21</v>
      </c>
      <c r="AO119" s="11">
        <f>H119*0</f>
        <v>0</v>
      </c>
      <c r="AP119" s="11">
        <f>H119*(1-0)</f>
        <v>0</v>
      </c>
      <c r="AQ119" s="27" t="s">
        <v>144</v>
      </c>
      <c r="AV119" s="11">
        <f>AW119+AX119</f>
        <v>0</v>
      </c>
      <c r="AW119" s="11">
        <f>G119*AO119</f>
        <v>0</v>
      </c>
      <c r="AX119" s="11">
        <f>G119*AP119</f>
        <v>0</v>
      </c>
      <c r="AY119" s="29" t="s">
        <v>1083</v>
      </c>
      <c r="AZ119" s="29" t="s">
        <v>1106</v>
      </c>
      <c r="BA119" s="26" t="s">
        <v>1128</v>
      </c>
      <c r="BB119" s="26" t="s">
        <v>1140</v>
      </c>
      <c r="BC119" s="11">
        <f>AW119+AX119</f>
        <v>0</v>
      </c>
      <c r="BD119" s="11">
        <f>H119/(100-BE119)*100</f>
        <v>0</v>
      </c>
      <c r="BE119" s="11">
        <v>0</v>
      </c>
      <c r="BF119" s="11">
        <f>L119</f>
        <v>357</v>
      </c>
      <c r="BH119" s="20">
        <f>G119*AO119</f>
        <v>0</v>
      </c>
      <c r="BI119" s="20">
        <f>G119*AP119</f>
        <v>0</v>
      </c>
      <c r="BJ119" s="20">
        <f>G119*H119</f>
        <v>0</v>
      </c>
      <c r="BK119" s="20" t="s">
        <v>1164</v>
      </c>
      <c r="BL119" s="11">
        <v>766</v>
      </c>
    </row>
    <row r="120" spans="1:64" x14ac:dyDescent="0.2">
      <c r="A120" s="35"/>
      <c r="B120" s="86" t="s">
        <v>354</v>
      </c>
      <c r="C120" s="196" t="s">
        <v>588</v>
      </c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32"/>
    </row>
    <row r="121" spans="1:64" x14ac:dyDescent="0.2">
      <c r="A121" s="35"/>
      <c r="B121" s="36"/>
      <c r="C121" s="81" t="s">
        <v>140</v>
      </c>
      <c r="D121" s="36"/>
      <c r="E121" s="82" t="s">
        <v>937</v>
      </c>
      <c r="F121" s="36"/>
      <c r="G121" s="83">
        <v>3</v>
      </c>
      <c r="H121" s="36"/>
      <c r="I121" s="36"/>
      <c r="J121" s="36"/>
      <c r="K121" s="36"/>
      <c r="L121" s="36"/>
      <c r="M121" s="35"/>
      <c r="N121" s="32"/>
    </row>
    <row r="122" spans="1:64" x14ac:dyDescent="0.2">
      <c r="A122" s="77"/>
      <c r="B122" s="76" t="s">
        <v>91</v>
      </c>
      <c r="C122" s="204" t="s">
        <v>117</v>
      </c>
      <c r="D122" s="205"/>
      <c r="E122" s="205"/>
      <c r="F122" s="77" t="s">
        <v>60</v>
      </c>
      <c r="G122" s="77" t="s">
        <v>60</v>
      </c>
      <c r="H122" s="77" t="s">
        <v>60</v>
      </c>
      <c r="I122" s="78">
        <f>SUM(I123:I152)</f>
        <v>0</v>
      </c>
      <c r="J122" s="78">
        <f>SUM(J123:J152)</f>
        <v>0</v>
      </c>
      <c r="K122" s="78">
        <f>SUM(K123:K152)</f>
        <v>0</v>
      </c>
      <c r="L122" s="78">
        <f>SUM(L123:L152)</f>
        <v>104292.83658</v>
      </c>
      <c r="M122" s="93"/>
      <c r="N122" s="32"/>
      <c r="AI122" s="26" t="s">
        <v>76</v>
      </c>
      <c r="AS122" s="31">
        <f>SUM(AJ123:AJ152)</f>
        <v>0</v>
      </c>
      <c r="AT122" s="31">
        <f>SUM(AK123:AK152)</f>
        <v>0</v>
      </c>
      <c r="AU122" s="31">
        <f>SUM(AL123:AL152)</f>
        <v>0</v>
      </c>
    </row>
    <row r="123" spans="1:64" x14ac:dyDescent="0.2">
      <c r="A123" s="79" t="s">
        <v>85</v>
      </c>
      <c r="B123" s="79" t="s">
        <v>384</v>
      </c>
      <c r="C123" s="194" t="s">
        <v>589</v>
      </c>
      <c r="D123" s="195"/>
      <c r="E123" s="195"/>
      <c r="F123" s="79" t="s">
        <v>1050</v>
      </c>
      <c r="G123" s="80">
        <v>36.81</v>
      </c>
      <c r="H123" s="80">
        <v>0</v>
      </c>
      <c r="I123" s="80">
        <f>G123*AO123</f>
        <v>0</v>
      </c>
      <c r="J123" s="80">
        <f>G123*AP123</f>
        <v>0</v>
      </c>
      <c r="K123" s="80">
        <f>G123*H123</f>
        <v>0</v>
      </c>
      <c r="L123" s="80">
        <f>G123*123</f>
        <v>4527.63</v>
      </c>
      <c r="M123" s="94" t="s">
        <v>1066</v>
      </c>
      <c r="N123" s="32"/>
      <c r="Z123" s="11">
        <f>IF(AQ123="5",BJ123,0)</f>
        <v>0</v>
      </c>
      <c r="AB123" s="11">
        <f>IF(AQ123="1",BH123,0)</f>
        <v>0</v>
      </c>
      <c r="AC123" s="11">
        <f>IF(AQ123="1",BI123,0)</f>
        <v>0</v>
      </c>
      <c r="AD123" s="11">
        <f>IF(AQ123="7",BH123,0)</f>
        <v>0</v>
      </c>
      <c r="AE123" s="11">
        <f>IF(AQ123="7",BI123,0)</f>
        <v>0</v>
      </c>
      <c r="AF123" s="11">
        <f>IF(AQ123="2",BH123,0)</f>
        <v>0</v>
      </c>
      <c r="AG123" s="11">
        <f>IF(AQ123="2",BI123,0)</f>
        <v>0</v>
      </c>
      <c r="AH123" s="11">
        <f>IF(AQ123="0",BJ123,0)</f>
        <v>0</v>
      </c>
      <c r="AI123" s="26" t="s">
        <v>76</v>
      </c>
      <c r="AJ123" s="20">
        <f>IF(AN123=0,K123,0)</f>
        <v>0</v>
      </c>
      <c r="AK123" s="20">
        <f>IF(AN123=15,K123,0)</f>
        <v>0</v>
      </c>
      <c r="AL123" s="20">
        <f>IF(AN123=21,K123,0)</f>
        <v>0</v>
      </c>
      <c r="AN123" s="11">
        <v>21</v>
      </c>
      <c r="AO123" s="11">
        <f>H123*0</f>
        <v>0</v>
      </c>
      <c r="AP123" s="11">
        <f>H123*(1-0)</f>
        <v>0</v>
      </c>
      <c r="AQ123" s="27" t="s">
        <v>144</v>
      </c>
      <c r="AV123" s="11">
        <f>AW123+AX123</f>
        <v>0</v>
      </c>
      <c r="AW123" s="11">
        <f>G123*AO123</f>
        <v>0</v>
      </c>
      <c r="AX123" s="11">
        <f>G123*AP123</f>
        <v>0</v>
      </c>
      <c r="AY123" s="29" t="s">
        <v>1084</v>
      </c>
      <c r="AZ123" s="29" t="s">
        <v>1107</v>
      </c>
      <c r="BA123" s="26" t="s">
        <v>1128</v>
      </c>
      <c r="BB123" s="26" t="s">
        <v>1141</v>
      </c>
      <c r="BC123" s="11">
        <f>AW123+AX123</f>
        <v>0</v>
      </c>
      <c r="BD123" s="11">
        <f>H123/(100-BE123)*100</f>
        <v>0</v>
      </c>
      <c r="BE123" s="11">
        <v>0</v>
      </c>
      <c r="BF123" s="11">
        <f>L123</f>
        <v>4527.63</v>
      </c>
      <c r="BH123" s="20">
        <f>G123*AO123</f>
        <v>0</v>
      </c>
      <c r="BI123" s="20">
        <f>G123*AP123</f>
        <v>0</v>
      </c>
      <c r="BJ123" s="20">
        <f>G123*H123</f>
        <v>0</v>
      </c>
      <c r="BK123" s="20" t="s">
        <v>1164</v>
      </c>
      <c r="BL123" s="11">
        <v>771</v>
      </c>
    </row>
    <row r="124" spans="1:64" x14ac:dyDescent="0.2">
      <c r="A124" s="35"/>
      <c r="B124" s="36"/>
      <c r="C124" s="81" t="s">
        <v>590</v>
      </c>
      <c r="D124" s="36"/>
      <c r="E124" s="82" t="s">
        <v>938</v>
      </c>
      <c r="F124" s="36"/>
      <c r="G124" s="83">
        <v>36.81</v>
      </c>
      <c r="H124" s="36"/>
      <c r="I124" s="36"/>
      <c r="J124" s="36"/>
      <c r="K124" s="36"/>
      <c r="L124" s="36"/>
      <c r="M124" s="35"/>
      <c r="N124" s="32"/>
    </row>
    <row r="125" spans="1:64" x14ac:dyDescent="0.2">
      <c r="A125" s="79" t="s">
        <v>170</v>
      </c>
      <c r="B125" s="79" t="s">
        <v>385</v>
      </c>
      <c r="C125" s="194" t="s">
        <v>591</v>
      </c>
      <c r="D125" s="195"/>
      <c r="E125" s="195"/>
      <c r="F125" s="79" t="s">
        <v>1050</v>
      </c>
      <c r="G125" s="80">
        <v>26.36</v>
      </c>
      <c r="H125" s="80">
        <v>0</v>
      </c>
      <c r="I125" s="80">
        <f>G125*AO125</f>
        <v>0</v>
      </c>
      <c r="J125" s="80">
        <f>G125*AP125</f>
        <v>0</v>
      </c>
      <c r="K125" s="80">
        <f>G125*H125</f>
        <v>0</v>
      </c>
      <c r="L125" s="80">
        <f>G125*125</f>
        <v>3295</v>
      </c>
      <c r="M125" s="94" t="s">
        <v>1066</v>
      </c>
      <c r="N125" s="32"/>
      <c r="Z125" s="11">
        <f>IF(AQ125="5",BJ125,0)</f>
        <v>0</v>
      </c>
      <c r="AB125" s="11">
        <f>IF(AQ125="1",BH125,0)</f>
        <v>0</v>
      </c>
      <c r="AC125" s="11">
        <f>IF(AQ125="1",BI125,0)</f>
        <v>0</v>
      </c>
      <c r="AD125" s="11">
        <f>IF(AQ125="7",BH125,0)</f>
        <v>0</v>
      </c>
      <c r="AE125" s="11">
        <f>IF(AQ125="7",BI125,0)</f>
        <v>0</v>
      </c>
      <c r="AF125" s="11">
        <f>IF(AQ125="2",BH125,0)</f>
        <v>0</v>
      </c>
      <c r="AG125" s="11">
        <f>IF(AQ125="2",BI125,0)</f>
        <v>0</v>
      </c>
      <c r="AH125" s="11">
        <f>IF(AQ125="0",BJ125,0)</f>
        <v>0</v>
      </c>
      <c r="AI125" s="26" t="s">
        <v>76</v>
      </c>
      <c r="AJ125" s="20">
        <f>IF(AN125=0,K125,0)</f>
        <v>0</v>
      </c>
      <c r="AK125" s="20">
        <f>IF(AN125=15,K125,0)</f>
        <v>0</v>
      </c>
      <c r="AL125" s="20">
        <f>IF(AN125=21,K125,0)</f>
        <v>0</v>
      </c>
      <c r="AN125" s="11">
        <v>21</v>
      </c>
      <c r="AO125" s="11">
        <f>H125*0</f>
        <v>0</v>
      </c>
      <c r="AP125" s="11">
        <f>H125*(1-0)</f>
        <v>0</v>
      </c>
      <c r="AQ125" s="27" t="s">
        <v>144</v>
      </c>
      <c r="AV125" s="11">
        <f>AW125+AX125</f>
        <v>0</v>
      </c>
      <c r="AW125" s="11">
        <f>G125*AO125</f>
        <v>0</v>
      </c>
      <c r="AX125" s="11">
        <f>G125*AP125</f>
        <v>0</v>
      </c>
      <c r="AY125" s="29" t="s">
        <v>1084</v>
      </c>
      <c r="AZ125" s="29" t="s">
        <v>1107</v>
      </c>
      <c r="BA125" s="26" t="s">
        <v>1128</v>
      </c>
      <c r="BB125" s="26" t="s">
        <v>1141</v>
      </c>
      <c r="BC125" s="11">
        <f>AW125+AX125</f>
        <v>0</v>
      </c>
      <c r="BD125" s="11">
        <f>H125/(100-BE125)*100</f>
        <v>0</v>
      </c>
      <c r="BE125" s="11">
        <v>0</v>
      </c>
      <c r="BF125" s="11">
        <f>L125</f>
        <v>3295</v>
      </c>
      <c r="BH125" s="20">
        <f>G125*AO125</f>
        <v>0</v>
      </c>
      <c r="BI125" s="20">
        <f>G125*AP125</f>
        <v>0</v>
      </c>
      <c r="BJ125" s="20">
        <f>G125*H125</f>
        <v>0</v>
      </c>
      <c r="BK125" s="20" t="s">
        <v>1164</v>
      </c>
      <c r="BL125" s="11">
        <v>771</v>
      </c>
    </row>
    <row r="126" spans="1:64" x14ac:dyDescent="0.2">
      <c r="A126" s="35"/>
      <c r="B126" s="36"/>
      <c r="C126" s="81" t="s">
        <v>592</v>
      </c>
      <c r="D126" s="36"/>
      <c r="E126" s="82" t="s">
        <v>939</v>
      </c>
      <c r="F126" s="36"/>
      <c r="G126" s="83">
        <v>26.36</v>
      </c>
      <c r="H126" s="36"/>
      <c r="I126" s="36"/>
      <c r="J126" s="36"/>
      <c r="K126" s="36"/>
      <c r="L126" s="36"/>
      <c r="M126" s="35"/>
      <c r="N126" s="32"/>
    </row>
    <row r="127" spans="1:64" x14ac:dyDescent="0.2">
      <c r="A127" s="84" t="s">
        <v>171</v>
      </c>
      <c r="B127" s="84" t="s">
        <v>386</v>
      </c>
      <c r="C127" s="198" t="s">
        <v>593</v>
      </c>
      <c r="D127" s="199"/>
      <c r="E127" s="199"/>
      <c r="F127" s="84" t="s">
        <v>1053</v>
      </c>
      <c r="G127" s="85">
        <v>0.39539999999999997</v>
      </c>
      <c r="H127" s="85">
        <v>0</v>
      </c>
      <c r="I127" s="85">
        <f>G127*AO127</f>
        <v>0</v>
      </c>
      <c r="J127" s="85">
        <f>G127*AP127</f>
        <v>0</v>
      </c>
      <c r="K127" s="85">
        <f>G127*H127</f>
        <v>0</v>
      </c>
      <c r="L127" s="85">
        <f>G127*127</f>
        <v>50.215799999999994</v>
      </c>
      <c r="M127" s="95" t="s">
        <v>1067</v>
      </c>
      <c r="N127" s="32"/>
      <c r="Z127" s="11">
        <f>IF(AQ127="5",BJ127,0)</f>
        <v>0</v>
      </c>
      <c r="AB127" s="11">
        <f>IF(AQ127="1",BH127,0)</f>
        <v>0</v>
      </c>
      <c r="AC127" s="11">
        <f>IF(AQ127="1",BI127,0)</f>
        <v>0</v>
      </c>
      <c r="AD127" s="11">
        <f>IF(AQ127="7",BH127,0)</f>
        <v>0</v>
      </c>
      <c r="AE127" s="11">
        <f>IF(AQ127="7",BI127,0)</f>
        <v>0</v>
      </c>
      <c r="AF127" s="11">
        <f>IF(AQ127="2",BH127,0)</f>
        <v>0</v>
      </c>
      <c r="AG127" s="11">
        <f>IF(AQ127="2",BI127,0)</f>
        <v>0</v>
      </c>
      <c r="AH127" s="11">
        <f>IF(AQ127="0",BJ127,0)</f>
        <v>0</v>
      </c>
      <c r="AI127" s="26" t="s">
        <v>76</v>
      </c>
      <c r="AJ127" s="21">
        <f>IF(AN127=0,K127,0)</f>
        <v>0</v>
      </c>
      <c r="AK127" s="21">
        <f>IF(AN127=15,K127,0)</f>
        <v>0</v>
      </c>
      <c r="AL127" s="21">
        <f>IF(AN127=21,K127,0)</f>
        <v>0</v>
      </c>
      <c r="AN127" s="11">
        <v>21</v>
      </c>
      <c r="AO127" s="11">
        <f>H127*1</f>
        <v>0</v>
      </c>
      <c r="AP127" s="11">
        <f>H127*(1-1)</f>
        <v>0</v>
      </c>
      <c r="AQ127" s="28" t="s">
        <v>144</v>
      </c>
      <c r="AV127" s="11">
        <f>AW127+AX127</f>
        <v>0</v>
      </c>
      <c r="AW127" s="11">
        <f>G127*AO127</f>
        <v>0</v>
      </c>
      <c r="AX127" s="11">
        <f>G127*AP127</f>
        <v>0</v>
      </c>
      <c r="AY127" s="29" t="s">
        <v>1084</v>
      </c>
      <c r="AZ127" s="29" t="s">
        <v>1107</v>
      </c>
      <c r="BA127" s="26" t="s">
        <v>1128</v>
      </c>
      <c r="BC127" s="11">
        <f>AW127+AX127</f>
        <v>0</v>
      </c>
      <c r="BD127" s="11">
        <f>H127/(100-BE127)*100</f>
        <v>0</v>
      </c>
      <c r="BE127" s="11">
        <v>0</v>
      </c>
      <c r="BF127" s="11">
        <f>L127</f>
        <v>50.215799999999994</v>
      </c>
      <c r="BH127" s="21">
        <f>G127*AO127</f>
        <v>0</v>
      </c>
      <c r="BI127" s="21">
        <f>G127*AP127</f>
        <v>0</v>
      </c>
      <c r="BJ127" s="21">
        <f>G127*H127</f>
        <v>0</v>
      </c>
      <c r="BK127" s="21" t="s">
        <v>1165</v>
      </c>
      <c r="BL127" s="11">
        <v>771</v>
      </c>
    </row>
    <row r="128" spans="1:64" x14ac:dyDescent="0.2">
      <c r="A128" s="35"/>
      <c r="B128" s="36"/>
      <c r="C128" s="81" t="s">
        <v>594</v>
      </c>
      <c r="D128" s="36"/>
      <c r="E128" s="82" t="s">
        <v>940</v>
      </c>
      <c r="F128" s="36"/>
      <c r="G128" s="83">
        <v>0.39539999999999997</v>
      </c>
      <c r="H128" s="36"/>
      <c r="I128" s="36"/>
      <c r="J128" s="36"/>
      <c r="K128" s="36"/>
      <c r="L128" s="36"/>
      <c r="M128" s="35"/>
      <c r="N128" s="32"/>
    </row>
    <row r="129" spans="1:64" x14ac:dyDescent="0.2">
      <c r="A129" s="79" t="s">
        <v>172</v>
      </c>
      <c r="B129" s="79" t="s">
        <v>387</v>
      </c>
      <c r="C129" s="194" t="s">
        <v>595</v>
      </c>
      <c r="D129" s="195"/>
      <c r="E129" s="195"/>
      <c r="F129" s="79" t="s">
        <v>1050</v>
      </c>
      <c r="G129" s="80">
        <v>26.36</v>
      </c>
      <c r="H129" s="80">
        <v>0</v>
      </c>
      <c r="I129" s="80">
        <f>G129*AO129</f>
        <v>0</v>
      </c>
      <c r="J129" s="80">
        <f>G129*AP129</f>
        <v>0</v>
      </c>
      <c r="K129" s="80">
        <f>G129*H129</f>
        <v>0</v>
      </c>
      <c r="L129" s="80">
        <f>G129*129</f>
        <v>3400.44</v>
      </c>
      <c r="M129" s="94" t="s">
        <v>1066</v>
      </c>
      <c r="N129" s="32"/>
      <c r="Z129" s="11">
        <f>IF(AQ129="5",BJ129,0)</f>
        <v>0</v>
      </c>
      <c r="AB129" s="11">
        <f>IF(AQ129="1",BH129,0)</f>
        <v>0</v>
      </c>
      <c r="AC129" s="11">
        <f>IF(AQ129="1",BI129,0)</f>
        <v>0</v>
      </c>
      <c r="AD129" s="11">
        <f>IF(AQ129="7",BH129,0)</f>
        <v>0</v>
      </c>
      <c r="AE129" s="11">
        <f>IF(AQ129="7",BI129,0)</f>
        <v>0</v>
      </c>
      <c r="AF129" s="11">
        <f>IF(AQ129="2",BH129,0)</f>
        <v>0</v>
      </c>
      <c r="AG129" s="11">
        <f>IF(AQ129="2",BI129,0)</f>
        <v>0</v>
      </c>
      <c r="AH129" s="11">
        <f>IF(AQ129="0",BJ129,0)</f>
        <v>0</v>
      </c>
      <c r="AI129" s="26" t="s">
        <v>76</v>
      </c>
      <c r="AJ129" s="20">
        <f>IF(AN129=0,K129,0)</f>
        <v>0</v>
      </c>
      <c r="AK129" s="20">
        <f>IF(AN129=15,K129,0)</f>
        <v>0</v>
      </c>
      <c r="AL129" s="20">
        <f>IF(AN129=21,K129,0)</f>
        <v>0</v>
      </c>
      <c r="AN129" s="11">
        <v>21</v>
      </c>
      <c r="AO129" s="11">
        <f>H129*0.208796147672552</f>
        <v>0</v>
      </c>
      <c r="AP129" s="11">
        <f>H129*(1-0.208796147672552)</f>
        <v>0</v>
      </c>
      <c r="AQ129" s="27" t="s">
        <v>144</v>
      </c>
      <c r="AV129" s="11">
        <f>AW129+AX129</f>
        <v>0</v>
      </c>
      <c r="AW129" s="11">
        <f>G129*AO129</f>
        <v>0</v>
      </c>
      <c r="AX129" s="11">
        <f>G129*AP129</f>
        <v>0</v>
      </c>
      <c r="AY129" s="29" t="s">
        <v>1084</v>
      </c>
      <c r="AZ129" s="29" t="s">
        <v>1107</v>
      </c>
      <c r="BA129" s="26" t="s">
        <v>1128</v>
      </c>
      <c r="BB129" s="26" t="s">
        <v>1141</v>
      </c>
      <c r="BC129" s="11">
        <f>AW129+AX129</f>
        <v>0</v>
      </c>
      <c r="BD129" s="11">
        <f>H129/(100-BE129)*100</f>
        <v>0</v>
      </c>
      <c r="BE129" s="11">
        <v>0</v>
      </c>
      <c r="BF129" s="11">
        <f>L129</f>
        <v>3400.44</v>
      </c>
      <c r="BH129" s="20">
        <f>G129*AO129</f>
        <v>0</v>
      </c>
      <c r="BI129" s="20">
        <f>G129*AP129</f>
        <v>0</v>
      </c>
      <c r="BJ129" s="20">
        <f>G129*H129</f>
        <v>0</v>
      </c>
      <c r="BK129" s="20" t="s">
        <v>1164</v>
      </c>
      <c r="BL129" s="11">
        <v>771</v>
      </c>
    </row>
    <row r="130" spans="1:64" x14ac:dyDescent="0.2">
      <c r="A130" s="35"/>
      <c r="B130" s="36"/>
      <c r="C130" s="81" t="s">
        <v>596</v>
      </c>
      <c r="D130" s="36"/>
      <c r="E130" s="82"/>
      <c r="F130" s="36"/>
      <c r="G130" s="83">
        <v>26.36</v>
      </c>
      <c r="H130" s="36"/>
      <c r="I130" s="36"/>
      <c r="J130" s="36"/>
      <c r="K130" s="36"/>
      <c r="L130" s="36"/>
      <c r="M130" s="35"/>
      <c r="N130" s="32"/>
    </row>
    <row r="131" spans="1:64" x14ac:dyDescent="0.2">
      <c r="A131" s="84" t="s">
        <v>173</v>
      </c>
      <c r="B131" s="84" t="s">
        <v>388</v>
      </c>
      <c r="C131" s="198" t="s">
        <v>597</v>
      </c>
      <c r="D131" s="199"/>
      <c r="E131" s="199"/>
      <c r="F131" s="84" t="s">
        <v>1050</v>
      </c>
      <c r="G131" s="85">
        <v>28.995999999999999</v>
      </c>
      <c r="H131" s="85">
        <v>0</v>
      </c>
      <c r="I131" s="85">
        <f>G131*AO131</f>
        <v>0</v>
      </c>
      <c r="J131" s="85">
        <f>G131*AP131</f>
        <v>0</v>
      </c>
      <c r="K131" s="85">
        <f>G131*H131</f>
        <v>0</v>
      </c>
      <c r="L131" s="85">
        <f>G131*131</f>
        <v>3798.4759999999997</v>
      </c>
      <c r="M131" s="95" t="s">
        <v>1067</v>
      </c>
      <c r="N131" s="32"/>
      <c r="Z131" s="11">
        <f>IF(AQ131="5",BJ131,0)</f>
        <v>0</v>
      </c>
      <c r="AB131" s="11">
        <f>IF(AQ131="1",BH131,0)</f>
        <v>0</v>
      </c>
      <c r="AC131" s="11">
        <f>IF(AQ131="1",BI131,0)</f>
        <v>0</v>
      </c>
      <c r="AD131" s="11">
        <f>IF(AQ131="7",BH131,0)</f>
        <v>0</v>
      </c>
      <c r="AE131" s="11">
        <f>IF(AQ131="7",BI131,0)</f>
        <v>0</v>
      </c>
      <c r="AF131" s="11">
        <f>IF(AQ131="2",BH131,0)</f>
        <v>0</v>
      </c>
      <c r="AG131" s="11">
        <f>IF(AQ131="2",BI131,0)</f>
        <v>0</v>
      </c>
      <c r="AH131" s="11">
        <f>IF(AQ131="0",BJ131,0)</f>
        <v>0</v>
      </c>
      <c r="AI131" s="26" t="s">
        <v>76</v>
      </c>
      <c r="AJ131" s="21">
        <f>IF(AN131=0,K131,0)</f>
        <v>0</v>
      </c>
      <c r="AK131" s="21">
        <f>IF(AN131=15,K131,0)</f>
        <v>0</v>
      </c>
      <c r="AL131" s="21">
        <f>IF(AN131=21,K131,0)</f>
        <v>0</v>
      </c>
      <c r="AN131" s="11">
        <v>21</v>
      </c>
      <c r="AO131" s="11">
        <f>H131*1</f>
        <v>0</v>
      </c>
      <c r="AP131" s="11">
        <f>H131*(1-1)</f>
        <v>0</v>
      </c>
      <c r="AQ131" s="28" t="s">
        <v>144</v>
      </c>
      <c r="AV131" s="11">
        <f>AW131+AX131</f>
        <v>0</v>
      </c>
      <c r="AW131" s="11">
        <f>G131*AO131</f>
        <v>0</v>
      </c>
      <c r="AX131" s="11">
        <f>G131*AP131</f>
        <v>0</v>
      </c>
      <c r="AY131" s="29" t="s">
        <v>1084</v>
      </c>
      <c r="AZ131" s="29" t="s">
        <v>1107</v>
      </c>
      <c r="BA131" s="26" t="s">
        <v>1128</v>
      </c>
      <c r="BC131" s="11">
        <f>AW131+AX131</f>
        <v>0</v>
      </c>
      <c r="BD131" s="11">
        <f>H131/(100-BE131)*100</f>
        <v>0</v>
      </c>
      <c r="BE131" s="11">
        <v>0</v>
      </c>
      <c r="BF131" s="11">
        <f>L131</f>
        <v>3798.4759999999997</v>
      </c>
      <c r="BH131" s="21">
        <f>G131*AO131</f>
        <v>0</v>
      </c>
      <c r="BI131" s="21">
        <f>G131*AP131</f>
        <v>0</v>
      </c>
      <c r="BJ131" s="21">
        <f>G131*H131</f>
        <v>0</v>
      </c>
      <c r="BK131" s="21" t="s">
        <v>1165</v>
      </c>
      <c r="BL131" s="11">
        <v>771</v>
      </c>
    </row>
    <row r="132" spans="1:64" x14ac:dyDescent="0.2">
      <c r="A132" s="35"/>
      <c r="B132" s="36"/>
      <c r="C132" s="81" t="s">
        <v>596</v>
      </c>
      <c r="D132" s="36"/>
      <c r="E132" s="82"/>
      <c r="F132" s="36"/>
      <c r="G132" s="83">
        <v>26.36</v>
      </c>
      <c r="H132" s="36"/>
      <c r="I132" s="36"/>
      <c r="J132" s="36"/>
      <c r="K132" s="36"/>
      <c r="L132" s="36"/>
      <c r="M132" s="35"/>
      <c r="N132" s="32"/>
    </row>
    <row r="133" spans="1:64" x14ac:dyDescent="0.2">
      <c r="A133" s="35"/>
      <c r="B133" s="36"/>
      <c r="C133" s="81" t="s">
        <v>598</v>
      </c>
      <c r="D133" s="36"/>
      <c r="E133" s="82"/>
      <c r="F133" s="36"/>
      <c r="G133" s="83">
        <v>2.6360000000000001</v>
      </c>
      <c r="H133" s="36"/>
      <c r="I133" s="36"/>
      <c r="J133" s="36"/>
      <c r="K133" s="36"/>
      <c r="L133" s="36"/>
      <c r="M133" s="35"/>
      <c r="N133" s="32"/>
    </row>
    <row r="134" spans="1:64" x14ac:dyDescent="0.2">
      <c r="A134" s="79" t="s">
        <v>174</v>
      </c>
      <c r="B134" s="79" t="s">
        <v>389</v>
      </c>
      <c r="C134" s="194" t="s">
        <v>599</v>
      </c>
      <c r="D134" s="195"/>
      <c r="E134" s="195"/>
      <c r="F134" s="79" t="s">
        <v>1051</v>
      </c>
      <c r="G134" s="80">
        <v>32.119999999999997</v>
      </c>
      <c r="H134" s="80">
        <v>0</v>
      </c>
      <c r="I134" s="80">
        <f>G134*AO134</f>
        <v>0</v>
      </c>
      <c r="J134" s="80">
        <f>G134*AP134</f>
        <v>0</v>
      </c>
      <c r="K134" s="80">
        <f>G134*H134</f>
        <v>0</v>
      </c>
      <c r="L134" s="80">
        <f>G134*134</f>
        <v>4304.08</v>
      </c>
      <c r="M134" s="94" t="s">
        <v>1066</v>
      </c>
      <c r="N134" s="32"/>
      <c r="Z134" s="11">
        <f>IF(AQ134="5",BJ134,0)</f>
        <v>0</v>
      </c>
      <c r="AB134" s="11">
        <f>IF(AQ134="1",BH134,0)</f>
        <v>0</v>
      </c>
      <c r="AC134" s="11">
        <f>IF(AQ134="1",BI134,0)</f>
        <v>0</v>
      </c>
      <c r="AD134" s="11">
        <f>IF(AQ134="7",BH134,0)</f>
        <v>0</v>
      </c>
      <c r="AE134" s="11">
        <f>IF(AQ134="7",BI134,0)</f>
        <v>0</v>
      </c>
      <c r="AF134" s="11">
        <f>IF(AQ134="2",BH134,0)</f>
        <v>0</v>
      </c>
      <c r="AG134" s="11">
        <f>IF(AQ134="2",BI134,0)</f>
        <v>0</v>
      </c>
      <c r="AH134" s="11">
        <f>IF(AQ134="0",BJ134,0)</f>
        <v>0</v>
      </c>
      <c r="AI134" s="26" t="s">
        <v>76</v>
      </c>
      <c r="AJ134" s="20">
        <f>IF(AN134=0,K134,0)</f>
        <v>0</v>
      </c>
      <c r="AK134" s="20">
        <f>IF(AN134=15,K134,0)</f>
        <v>0</v>
      </c>
      <c r="AL134" s="20">
        <f>IF(AN134=21,K134,0)</f>
        <v>0</v>
      </c>
      <c r="AN134" s="11">
        <v>21</v>
      </c>
      <c r="AO134" s="11">
        <f>H134*0.0814609145500089</f>
        <v>0</v>
      </c>
      <c r="AP134" s="11">
        <f>H134*(1-0.0814609145500089)</f>
        <v>0</v>
      </c>
      <c r="AQ134" s="27" t="s">
        <v>144</v>
      </c>
      <c r="AV134" s="11">
        <f>AW134+AX134</f>
        <v>0</v>
      </c>
      <c r="AW134" s="11">
        <f>G134*AO134</f>
        <v>0</v>
      </c>
      <c r="AX134" s="11">
        <f>G134*AP134</f>
        <v>0</v>
      </c>
      <c r="AY134" s="29" t="s">
        <v>1084</v>
      </c>
      <c r="AZ134" s="29" t="s">
        <v>1107</v>
      </c>
      <c r="BA134" s="26" t="s">
        <v>1128</v>
      </c>
      <c r="BB134" s="26" t="s">
        <v>1141</v>
      </c>
      <c r="BC134" s="11">
        <f>AW134+AX134</f>
        <v>0</v>
      </c>
      <c r="BD134" s="11">
        <f>H134/(100-BE134)*100</f>
        <v>0</v>
      </c>
      <c r="BE134" s="11">
        <v>0</v>
      </c>
      <c r="BF134" s="11">
        <f>L134</f>
        <v>4304.08</v>
      </c>
      <c r="BH134" s="20">
        <f>G134*AO134</f>
        <v>0</v>
      </c>
      <c r="BI134" s="20">
        <f>G134*AP134</f>
        <v>0</v>
      </c>
      <c r="BJ134" s="20">
        <f>G134*H134</f>
        <v>0</v>
      </c>
      <c r="BK134" s="20" t="s">
        <v>1164</v>
      </c>
      <c r="BL134" s="11">
        <v>771</v>
      </c>
    </row>
    <row r="135" spans="1:64" x14ac:dyDescent="0.2">
      <c r="A135" s="35"/>
      <c r="B135" s="36"/>
      <c r="C135" s="81" t="s">
        <v>600</v>
      </c>
      <c r="D135" s="36"/>
      <c r="E135" s="82" t="s">
        <v>941</v>
      </c>
      <c r="F135" s="36"/>
      <c r="G135" s="83">
        <v>35.42</v>
      </c>
      <c r="H135" s="36"/>
      <c r="I135" s="36"/>
      <c r="J135" s="36"/>
      <c r="K135" s="36"/>
      <c r="L135" s="36"/>
      <c r="M135" s="35"/>
      <c r="N135" s="32"/>
    </row>
    <row r="136" spans="1:64" x14ac:dyDescent="0.2">
      <c r="A136" s="35"/>
      <c r="B136" s="36"/>
      <c r="C136" s="81" t="s">
        <v>601</v>
      </c>
      <c r="D136" s="36"/>
      <c r="E136" s="82" t="s">
        <v>942</v>
      </c>
      <c r="F136" s="36"/>
      <c r="G136" s="83">
        <v>-3.3</v>
      </c>
      <c r="H136" s="36"/>
      <c r="I136" s="36"/>
      <c r="J136" s="36"/>
      <c r="K136" s="36"/>
      <c r="L136" s="36"/>
      <c r="M136" s="35"/>
      <c r="N136" s="32"/>
    </row>
    <row r="137" spans="1:64" x14ac:dyDescent="0.2">
      <c r="A137" s="84" t="s">
        <v>175</v>
      </c>
      <c r="B137" s="84" t="s">
        <v>388</v>
      </c>
      <c r="C137" s="198" t="s">
        <v>597</v>
      </c>
      <c r="D137" s="199"/>
      <c r="E137" s="199"/>
      <c r="F137" s="84" t="s">
        <v>1050</v>
      </c>
      <c r="G137" s="85">
        <v>5.3533400000000002</v>
      </c>
      <c r="H137" s="85">
        <v>0</v>
      </c>
      <c r="I137" s="85">
        <f>G137*AO137</f>
        <v>0</v>
      </c>
      <c r="J137" s="85">
        <f>G137*AP137</f>
        <v>0</v>
      </c>
      <c r="K137" s="85">
        <f>G137*H137</f>
        <v>0</v>
      </c>
      <c r="L137" s="85">
        <f>G137*137</f>
        <v>733.40758000000005</v>
      </c>
      <c r="M137" s="95" t="s">
        <v>1067</v>
      </c>
      <c r="N137" s="32"/>
      <c r="Z137" s="11">
        <f>IF(AQ137="5",BJ137,0)</f>
        <v>0</v>
      </c>
      <c r="AB137" s="11">
        <f>IF(AQ137="1",BH137,0)</f>
        <v>0</v>
      </c>
      <c r="AC137" s="11">
        <f>IF(AQ137="1",BI137,0)</f>
        <v>0</v>
      </c>
      <c r="AD137" s="11">
        <f>IF(AQ137="7",BH137,0)</f>
        <v>0</v>
      </c>
      <c r="AE137" s="11">
        <f>IF(AQ137="7",BI137,0)</f>
        <v>0</v>
      </c>
      <c r="AF137" s="11">
        <f>IF(AQ137="2",BH137,0)</f>
        <v>0</v>
      </c>
      <c r="AG137" s="11">
        <f>IF(AQ137="2",BI137,0)</f>
        <v>0</v>
      </c>
      <c r="AH137" s="11">
        <f>IF(AQ137="0",BJ137,0)</f>
        <v>0</v>
      </c>
      <c r="AI137" s="26" t="s">
        <v>76</v>
      </c>
      <c r="AJ137" s="21">
        <f>IF(AN137=0,K137,0)</f>
        <v>0</v>
      </c>
      <c r="AK137" s="21">
        <f>IF(AN137=15,K137,0)</f>
        <v>0</v>
      </c>
      <c r="AL137" s="21">
        <f>IF(AN137=21,K137,0)</f>
        <v>0</v>
      </c>
      <c r="AN137" s="11">
        <v>21</v>
      </c>
      <c r="AO137" s="11">
        <f>H137*1</f>
        <v>0</v>
      </c>
      <c r="AP137" s="11">
        <f>H137*(1-1)</f>
        <v>0</v>
      </c>
      <c r="AQ137" s="28" t="s">
        <v>144</v>
      </c>
      <c r="AV137" s="11">
        <f>AW137+AX137</f>
        <v>0</v>
      </c>
      <c r="AW137" s="11">
        <f>G137*AO137</f>
        <v>0</v>
      </c>
      <c r="AX137" s="11">
        <f>G137*AP137</f>
        <v>0</v>
      </c>
      <c r="AY137" s="29" t="s">
        <v>1084</v>
      </c>
      <c r="AZ137" s="29" t="s">
        <v>1107</v>
      </c>
      <c r="BA137" s="26" t="s">
        <v>1128</v>
      </c>
      <c r="BC137" s="11">
        <f>AW137+AX137</f>
        <v>0</v>
      </c>
      <c r="BD137" s="11">
        <f>H137/(100-BE137)*100</f>
        <v>0</v>
      </c>
      <c r="BE137" s="11">
        <v>0</v>
      </c>
      <c r="BF137" s="11">
        <f>L137</f>
        <v>733.40758000000005</v>
      </c>
      <c r="BH137" s="21">
        <f>G137*AO137</f>
        <v>0</v>
      </c>
      <c r="BI137" s="21">
        <f>G137*AP137</f>
        <v>0</v>
      </c>
      <c r="BJ137" s="21">
        <f>G137*H137</f>
        <v>0</v>
      </c>
      <c r="BK137" s="21" t="s">
        <v>1165</v>
      </c>
      <c r="BL137" s="11">
        <v>771</v>
      </c>
    </row>
    <row r="138" spans="1:64" x14ac:dyDescent="0.2">
      <c r="A138" s="35"/>
      <c r="B138" s="36"/>
      <c r="C138" s="81" t="s">
        <v>602</v>
      </c>
      <c r="D138" s="36"/>
      <c r="E138" s="82" t="s">
        <v>943</v>
      </c>
      <c r="F138" s="36"/>
      <c r="G138" s="83">
        <v>4.8666700000000001</v>
      </c>
      <c r="H138" s="36"/>
      <c r="I138" s="36"/>
      <c r="J138" s="36"/>
      <c r="K138" s="36"/>
      <c r="L138" s="36"/>
      <c r="M138" s="35"/>
      <c r="N138" s="32"/>
    </row>
    <row r="139" spans="1:64" x14ac:dyDescent="0.2">
      <c r="A139" s="35"/>
      <c r="B139" s="36"/>
      <c r="C139" s="81" t="s">
        <v>603</v>
      </c>
      <c r="D139" s="36"/>
      <c r="E139" s="82"/>
      <c r="F139" s="36"/>
      <c r="G139" s="83">
        <v>0.48666999999999999</v>
      </c>
      <c r="H139" s="36"/>
      <c r="I139" s="36"/>
      <c r="J139" s="36"/>
      <c r="K139" s="36"/>
      <c r="L139" s="36"/>
      <c r="M139" s="35"/>
      <c r="N139" s="32"/>
    </row>
    <row r="140" spans="1:64" x14ac:dyDescent="0.2">
      <c r="A140" s="79" t="s">
        <v>176</v>
      </c>
      <c r="B140" s="79" t="s">
        <v>390</v>
      </c>
      <c r="C140" s="194" t="s">
        <v>604</v>
      </c>
      <c r="D140" s="195"/>
      <c r="E140" s="195"/>
      <c r="F140" s="79" t="s">
        <v>1051</v>
      </c>
      <c r="G140" s="80">
        <v>32.159999999999997</v>
      </c>
      <c r="H140" s="80">
        <v>0</v>
      </c>
      <c r="I140" s="80">
        <f>G140*AO140</f>
        <v>0</v>
      </c>
      <c r="J140" s="80">
        <f>G140*AP140</f>
        <v>0</v>
      </c>
      <c r="K140" s="80">
        <f>G140*H140</f>
        <v>0</v>
      </c>
      <c r="L140" s="80">
        <f>G140*140</f>
        <v>4502.3999999999996</v>
      </c>
      <c r="M140" s="94" t="s">
        <v>1066</v>
      </c>
      <c r="N140" s="32"/>
      <c r="Z140" s="11">
        <f>IF(AQ140="5",BJ140,0)</f>
        <v>0</v>
      </c>
      <c r="AB140" s="11">
        <f>IF(AQ140="1",BH140,0)</f>
        <v>0</v>
      </c>
      <c r="AC140" s="11">
        <f>IF(AQ140="1",BI140,0)</f>
        <v>0</v>
      </c>
      <c r="AD140" s="11">
        <f>IF(AQ140="7",BH140,0)</f>
        <v>0</v>
      </c>
      <c r="AE140" s="11">
        <f>IF(AQ140="7",BI140,0)</f>
        <v>0</v>
      </c>
      <c r="AF140" s="11">
        <f>IF(AQ140="2",BH140,0)</f>
        <v>0</v>
      </c>
      <c r="AG140" s="11">
        <f>IF(AQ140="2",BI140,0)</f>
        <v>0</v>
      </c>
      <c r="AH140" s="11">
        <f>IF(AQ140="0",BJ140,0)</f>
        <v>0</v>
      </c>
      <c r="AI140" s="26" t="s">
        <v>76</v>
      </c>
      <c r="AJ140" s="20">
        <f>IF(AN140=0,K140,0)</f>
        <v>0</v>
      </c>
      <c r="AK140" s="20">
        <f>IF(AN140=15,K140,0)</f>
        <v>0</v>
      </c>
      <c r="AL140" s="20">
        <f>IF(AN140=21,K140,0)</f>
        <v>0</v>
      </c>
      <c r="AN140" s="11">
        <v>21</v>
      </c>
      <c r="AO140" s="11">
        <f>H140*0.0575921336954582</f>
        <v>0</v>
      </c>
      <c r="AP140" s="11">
        <f>H140*(1-0.0575921336954582)</f>
        <v>0</v>
      </c>
      <c r="AQ140" s="27" t="s">
        <v>144</v>
      </c>
      <c r="AV140" s="11">
        <f>AW140+AX140</f>
        <v>0</v>
      </c>
      <c r="AW140" s="11">
        <f>G140*AO140</f>
        <v>0</v>
      </c>
      <c r="AX140" s="11">
        <f>G140*AP140</f>
        <v>0</v>
      </c>
      <c r="AY140" s="29" t="s">
        <v>1084</v>
      </c>
      <c r="AZ140" s="29" t="s">
        <v>1107</v>
      </c>
      <c r="BA140" s="26" t="s">
        <v>1128</v>
      </c>
      <c r="BB140" s="26" t="s">
        <v>1141</v>
      </c>
      <c r="BC140" s="11">
        <f>AW140+AX140</f>
        <v>0</v>
      </c>
      <c r="BD140" s="11">
        <f>H140/(100-BE140)*100</f>
        <v>0</v>
      </c>
      <c r="BE140" s="11">
        <v>0</v>
      </c>
      <c r="BF140" s="11">
        <f>L140</f>
        <v>4502.3999999999996</v>
      </c>
      <c r="BH140" s="20">
        <f>G140*AO140</f>
        <v>0</v>
      </c>
      <c r="BI140" s="20">
        <f>G140*AP140</f>
        <v>0</v>
      </c>
      <c r="BJ140" s="20">
        <f>G140*H140</f>
        <v>0</v>
      </c>
      <c r="BK140" s="20" t="s">
        <v>1164</v>
      </c>
      <c r="BL140" s="11">
        <v>771</v>
      </c>
    </row>
    <row r="141" spans="1:64" x14ac:dyDescent="0.2">
      <c r="A141" s="79" t="s">
        <v>177</v>
      </c>
      <c r="B141" s="79" t="s">
        <v>391</v>
      </c>
      <c r="C141" s="194" t="s">
        <v>605</v>
      </c>
      <c r="D141" s="195"/>
      <c r="E141" s="195"/>
      <c r="F141" s="79" t="s">
        <v>1051</v>
      </c>
      <c r="G141" s="80">
        <v>2.7</v>
      </c>
      <c r="H141" s="80">
        <v>0</v>
      </c>
      <c r="I141" s="80">
        <f>G141*AO141</f>
        <v>0</v>
      </c>
      <c r="J141" s="80">
        <f>G141*AP141</f>
        <v>0</v>
      </c>
      <c r="K141" s="80">
        <f>G141*H141</f>
        <v>0</v>
      </c>
      <c r="L141" s="80">
        <f>G141*141</f>
        <v>380.70000000000005</v>
      </c>
      <c r="M141" s="94" t="s">
        <v>1066</v>
      </c>
      <c r="N141" s="32"/>
      <c r="Z141" s="11">
        <f>IF(AQ141="5",BJ141,0)</f>
        <v>0</v>
      </c>
      <c r="AB141" s="11">
        <f>IF(AQ141="1",BH141,0)</f>
        <v>0</v>
      </c>
      <c r="AC141" s="11">
        <f>IF(AQ141="1",BI141,0)</f>
        <v>0</v>
      </c>
      <c r="AD141" s="11">
        <f>IF(AQ141="7",BH141,0)</f>
        <v>0</v>
      </c>
      <c r="AE141" s="11">
        <f>IF(AQ141="7",BI141,0)</f>
        <v>0</v>
      </c>
      <c r="AF141" s="11">
        <f>IF(AQ141="2",BH141,0)</f>
        <v>0</v>
      </c>
      <c r="AG141" s="11">
        <f>IF(AQ141="2",BI141,0)</f>
        <v>0</v>
      </c>
      <c r="AH141" s="11">
        <f>IF(AQ141="0",BJ141,0)</f>
        <v>0</v>
      </c>
      <c r="AI141" s="26" t="s">
        <v>76</v>
      </c>
      <c r="AJ141" s="20">
        <f>IF(AN141=0,K141,0)</f>
        <v>0</v>
      </c>
      <c r="AK141" s="20">
        <f>IF(AN141=15,K141,0)</f>
        <v>0</v>
      </c>
      <c r="AL141" s="20">
        <f>IF(AN141=21,K141,0)</f>
        <v>0</v>
      </c>
      <c r="AN141" s="11">
        <v>21</v>
      </c>
      <c r="AO141" s="11">
        <f>H141*0</f>
        <v>0</v>
      </c>
      <c r="AP141" s="11">
        <f>H141*(1-0)</f>
        <v>0</v>
      </c>
      <c r="AQ141" s="27" t="s">
        <v>144</v>
      </c>
      <c r="AV141" s="11">
        <f>AW141+AX141</f>
        <v>0</v>
      </c>
      <c r="AW141" s="11">
        <f>G141*AO141</f>
        <v>0</v>
      </c>
      <c r="AX141" s="11">
        <f>G141*AP141</f>
        <v>0</v>
      </c>
      <c r="AY141" s="29" t="s">
        <v>1084</v>
      </c>
      <c r="AZ141" s="29" t="s">
        <v>1107</v>
      </c>
      <c r="BA141" s="26" t="s">
        <v>1128</v>
      </c>
      <c r="BB141" s="26" t="s">
        <v>1141</v>
      </c>
      <c r="BC141" s="11">
        <f>AW141+AX141</f>
        <v>0</v>
      </c>
      <c r="BD141" s="11">
        <f>H141/(100-BE141)*100</f>
        <v>0</v>
      </c>
      <c r="BE141" s="11">
        <v>0</v>
      </c>
      <c r="BF141" s="11">
        <f>L141</f>
        <v>380.70000000000005</v>
      </c>
      <c r="BH141" s="20">
        <f>G141*AO141</f>
        <v>0</v>
      </c>
      <c r="BI141" s="20">
        <f>G141*AP141</f>
        <v>0</v>
      </c>
      <c r="BJ141" s="20">
        <f>G141*H141</f>
        <v>0</v>
      </c>
      <c r="BK141" s="20" t="s">
        <v>1164</v>
      </c>
      <c r="BL141" s="11">
        <v>771</v>
      </c>
    </row>
    <row r="142" spans="1:64" x14ac:dyDescent="0.2">
      <c r="A142" s="35"/>
      <c r="B142" s="36"/>
      <c r="C142" s="81" t="s">
        <v>606</v>
      </c>
      <c r="D142" s="36"/>
      <c r="E142" s="82"/>
      <c r="F142" s="36"/>
      <c r="G142" s="83">
        <v>2.7</v>
      </c>
      <c r="H142" s="36"/>
      <c r="I142" s="36"/>
      <c r="J142" s="36"/>
      <c r="K142" s="36"/>
      <c r="L142" s="36"/>
      <c r="M142" s="35"/>
      <c r="N142" s="32"/>
    </row>
    <row r="143" spans="1:64" x14ac:dyDescent="0.2">
      <c r="A143" s="84" t="s">
        <v>178</v>
      </c>
      <c r="B143" s="84" t="s">
        <v>392</v>
      </c>
      <c r="C143" s="198" t="s">
        <v>607</v>
      </c>
      <c r="D143" s="199"/>
      <c r="E143" s="199"/>
      <c r="F143" s="84" t="s">
        <v>1051</v>
      </c>
      <c r="G143" s="85">
        <v>1.98</v>
      </c>
      <c r="H143" s="85">
        <v>0</v>
      </c>
      <c r="I143" s="85">
        <f>G143*AO143</f>
        <v>0</v>
      </c>
      <c r="J143" s="85">
        <f>G143*AP143</f>
        <v>0</v>
      </c>
      <c r="K143" s="85">
        <f>G143*H143</f>
        <v>0</v>
      </c>
      <c r="L143" s="85">
        <f>G143*143</f>
        <v>283.14</v>
      </c>
      <c r="M143" s="95" t="s">
        <v>1066</v>
      </c>
      <c r="N143" s="32"/>
      <c r="Z143" s="11">
        <f>IF(AQ143="5",BJ143,0)</f>
        <v>0</v>
      </c>
      <c r="AB143" s="11">
        <f>IF(AQ143="1",BH143,0)</f>
        <v>0</v>
      </c>
      <c r="AC143" s="11">
        <f>IF(AQ143="1",BI143,0)</f>
        <v>0</v>
      </c>
      <c r="AD143" s="11">
        <f>IF(AQ143="7",BH143,0)</f>
        <v>0</v>
      </c>
      <c r="AE143" s="11">
        <f>IF(AQ143="7",BI143,0)</f>
        <v>0</v>
      </c>
      <c r="AF143" s="11">
        <f>IF(AQ143="2",BH143,0)</f>
        <v>0</v>
      </c>
      <c r="AG143" s="11">
        <f>IF(AQ143="2",BI143,0)</f>
        <v>0</v>
      </c>
      <c r="AH143" s="11">
        <f>IF(AQ143="0",BJ143,0)</f>
        <v>0</v>
      </c>
      <c r="AI143" s="26" t="s">
        <v>76</v>
      </c>
      <c r="AJ143" s="21">
        <f>IF(AN143=0,K143,0)</f>
        <v>0</v>
      </c>
      <c r="AK143" s="21">
        <f>IF(AN143=15,K143,0)</f>
        <v>0</v>
      </c>
      <c r="AL143" s="21">
        <f>IF(AN143=21,K143,0)</f>
        <v>0</v>
      </c>
      <c r="AN143" s="11">
        <v>21</v>
      </c>
      <c r="AO143" s="11">
        <f>H143*1</f>
        <v>0</v>
      </c>
      <c r="AP143" s="11">
        <f>H143*(1-1)</f>
        <v>0</v>
      </c>
      <c r="AQ143" s="28" t="s">
        <v>144</v>
      </c>
      <c r="AV143" s="11">
        <f>AW143+AX143</f>
        <v>0</v>
      </c>
      <c r="AW143" s="11">
        <f>G143*AO143</f>
        <v>0</v>
      </c>
      <c r="AX143" s="11">
        <f>G143*AP143</f>
        <v>0</v>
      </c>
      <c r="AY143" s="29" t="s">
        <v>1084</v>
      </c>
      <c r="AZ143" s="29" t="s">
        <v>1107</v>
      </c>
      <c r="BA143" s="26" t="s">
        <v>1128</v>
      </c>
      <c r="BC143" s="11">
        <f>AW143+AX143</f>
        <v>0</v>
      </c>
      <c r="BD143" s="11">
        <f>H143/(100-BE143)*100</f>
        <v>0</v>
      </c>
      <c r="BE143" s="11">
        <v>0</v>
      </c>
      <c r="BF143" s="11">
        <f>L143</f>
        <v>283.14</v>
      </c>
      <c r="BH143" s="21">
        <f>G143*AO143</f>
        <v>0</v>
      </c>
      <c r="BI143" s="21">
        <f>G143*AP143</f>
        <v>0</v>
      </c>
      <c r="BJ143" s="21">
        <f>G143*H143</f>
        <v>0</v>
      </c>
      <c r="BK143" s="21" t="s">
        <v>1165</v>
      </c>
      <c r="BL143" s="11">
        <v>771</v>
      </c>
    </row>
    <row r="144" spans="1:64" x14ac:dyDescent="0.2">
      <c r="A144" s="35"/>
      <c r="B144" s="36"/>
      <c r="C144" s="81" t="s">
        <v>608</v>
      </c>
      <c r="D144" s="36"/>
      <c r="E144" s="82"/>
      <c r="F144" s="36"/>
      <c r="G144" s="83">
        <v>1.8</v>
      </c>
      <c r="H144" s="36"/>
      <c r="I144" s="36"/>
      <c r="J144" s="36"/>
      <c r="K144" s="36"/>
      <c r="L144" s="36"/>
      <c r="M144" s="35"/>
      <c r="N144" s="32"/>
    </row>
    <row r="145" spans="1:64" x14ac:dyDescent="0.2">
      <c r="A145" s="35"/>
      <c r="B145" s="36"/>
      <c r="C145" s="81" t="s">
        <v>609</v>
      </c>
      <c r="D145" s="36"/>
      <c r="E145" s="82"/>
      <c r="F145" s="36"/>
      <c r="G145" s="83">
        <v>0.18</v>
      </c>
      <c r="H145" s="36"/>
      <c r="I145" s="36"/>
      <c r="J145" s="36"/>
      <c r="K145" s="36"/>
      <c r="L145" s="36"/>
      <c r="M145" s="35"/>
      <c r="N145" s="32"/>
    </row>
    <row r="146" spans="1:64" x14ac:dyDescent="0.2">
      <c r="A146" s="84" t="s">
        <v>179</v>
      </c>
      <c r="B146" s="84" t="s">
        <v>393</v>
      </c>
      <c r="C146" s="198" t="s">
        <v>610</v>
      </c>
      <c r="D146" s="199"/>
      <c r="E146" s="199"/>
      <c r="F146" s="84" t="s">
        <v>1047</v>
      </c>
      <c r="G146" s="85">
        <v>1</v>
      </c>
      <c r="H146" s="85">
        <v>0</v>
      </c>
      <c r="I146" s="85">
        <f>G146*AO146</f>
        <v>0</v>
      </c>
      <c r="J146" s="85">
        <f>G146*AP146</f>
        <v>0</v>
      </c>
      <c r="K146" s="85">
        <f>G146*H146</f>
        <v>0</v>
      </c>
      <c r="L146" s="85">
        <f>G146*146</f>
        <v>146</v>
      </c>
      <c r="M146" s="95" t="s">
        <v>1066</v>
      </c>
      <c r="N146" s="32"/>
      <c r="Z146" s="11">
        <f>IF(AQ146="5",BJ146,0)</f>
        <v>0</v>
      </c>
      <c r="AB146" s="11">
        <f>IF(AQ146="1",BH146,0)</f>
        <v>0</v>
      </c>
      <c r="AC146" s="11">
        <f>IF(AQ146="1",BI146,0)</f>
        <v>0</v>
      </c>
      <c r="AD146" s="11">
        <f>IF(AQ146="7",BH146,0)</f>
        <v>0</v>
      </c>
      <c r="AE146" s="11">
        <f>IF(AQ146="7",BI146,0)</f>
        <v>0</v>
      </c>
      <c r="AF146" s="11">
        <f>IF(AQ146="2",BH146,0)</f>
        <v>0</v>
      </c>
      <c r="AG146" s="11">
        <f>IF(AQ146="2",BI146,0)</f>
        <v>0</v>
      </c>
      <c r="AH146" s="11">
        <f>IF(AQ146="0",BJ146,0)</f>
        <v>0</v>
      </c>
      <c r="AI146" s="26" t="s">
        <v>76</v>
      </c>
      <c r="AJ146" s="21">
        <f>IF(AN146=0,K146,0)</f>
        <v>0</v>
      </c>
      <c r="AK146" s="21">
        <f>IF(AN146=15,K146,0)</f>
        <v>0</v>
      </c>
      <c r="AL146" s="21">
        <f>IF(AN146=21,K146,0)</f>
        <v>0</v>
      </c>
      <c r="AN146" s="11">
        <v>21</v>
      </c>
      <c r="AO146" s="11">
        <f>H146*1</f>
        <v>0</v>
      </c>
      <c r="AP146" s="11">
        <f>H146*(1-1)</f>
        <v>0</v>
      </c>
      <c r="AQ146" s="28" t="s">
        <v>144</v>
      </c>
      <c r="AV146" s="11">
        <f>AW146+AX146</f>
        <v>0</v>
      </c>
      <c r="AW146" s="11">
        <f>G146*AO146</f>
        <v>0</v>
      </c>
      <c r="AX146" s="11">
        <f>G146*AP146</f>
        <v>0</v>
      </c>
      <c r="AY146" s="29" t="s">
        <v>1084</v>
      </c>
      <c r="AZ146" s="29" t="s">
        <v>1107</v>
      </c>
      <c r="BA146" s="26" t="s">
        <v>1128</v>
      </c>
      <c r="BC146" s="11">
        <f>AW146+AX146</f>
        <v>0</v>
      </c>
      <c r="BD146" s="11">
        <f>H146/(100-BE146)*100</f>
        <v>0</v>
      </c>
      <c r="BE146" s="11">
        <v>0</v>
      </c>
      <c r="BF146" s="11">
        <f>L146</f>
        <v>146</v>
      </c>
      <c r="BH146" s="21">
        <f>G146*AO146</f>
        <v>0</v>
      </c>
      <c r="BI146" s="21">
        <f>G146*AP146</f>
        <v>0</v>
      </c>
      <c r="BJ146" s="21">
        <f>G146*H146</f>
        <v>0</v>
      </c>
      <c r="BK146" s="21" t="s">
        <v>1165</v>
      </c>
      <c r="BL146" s="11">
        <v>771</v>
      </c>
    </row>
    <row r="147" spans="1:64" x14ac:dyDescent="0.2">
      <c r="A147" s="35"/>
      <c r="B147" s="36"/>
      <c r="C147" s="81" t="s">
        <v>138</v>
      </c>
      <c r="D147" s="36"/>
      <c r="E147" s="82" t="s">
        <v>944</v>
      </c>
      <c r="F147" s="36"/>
      <c r="G147" s="83">
        <v>1</v>
      </c>
      <c r="H147" s="36"/>
      <c r="I147" s="36"/>
      <c r="J147" s="36"/>
      <c r="K147" s="36"/>
      <c r="L147" s="36"/>
      <c r="M147" s="35"/>
      <c r="N147" s="32"/>
    </row>
    <row r="148" spans="1:64" x14ac:dyDescent="0.2">
      <c r="A148" s="79" t="s">
        <v>180</v>
      </c>
      <c r="B148" s="79" t="s">
        <v>394</v>
      </c>
      <c r="C148" s="194" t="s">
        <v>611</v>
      </c>
      <c r="D148" s="195"/>
      <c r="E148" s="195"/>
      <c r="F148" s="79" t="s">
        <v>1051</v>
      </c>
      <c r="G148" s="80">
        <v>32.159999999999997</v>
      </c>
      <c r="H148" s="80">
        <v>0</v>
      </c>
      <c r="I148" s="80">
        <f>G148*AO148</f>
        <v>0</v>
      </c>
      <c r="J148" s="80">
        <f>G148*AP148</f>
        <v>0</v>
      </c>
      <c r="K148" s="80">
        <f>G148*H148</f>
        <v>0</v>
      </c>
      <c r="L148" s="80">
        <f>G148*148</f>
        <v>4759.6799999999994</v>
      </c>
      <c r="M148" s="94" t="s">
        <v>1066</v>
      </c>
      <c r="N148" s="32"/>
      <c r="Z148" s="11">
        <f>IF(AQ148="5",BJ148,0)</f>
        <v>0</v>
      </c>
      <c r="AB148" s="11">
        <f>IF(AQ148="1",BH148,0)</f>
        <v>0</v>
      </c>
      <c r="AC148" s="11">
        <f>IF(AQ148="1",BI148,0)</f>
        <v>0</v>
      </c>
      <c r="AD148" s="11">
        <f>IF(AQ148="7",BH148,0)</f>
        <v>0</v>
      </c>
      <c r="AE148" s="11">
        <f>IF(AQ148="7",BI148,0)</f>
        <v>0</v>
      </c>
      <c r="AF148" s="11">
        <f>IF(AQ148="2",BH148,0)</f>
        <v>0</v>
      </c>
      <c r="AG148" s="11">
        <f>IF(AQ148="2",BI148,0)</f>
        <v>0</v>
      </c>
      <c r="AH148" s="11">
        <f>IF(AQ148="0",BJ148,0)</f>
        <v>0</v>
      </c>
      <c r="AI148" s="26" t="s">
        <v>76</v>
      </c>
      <c r="AJ148" s="20">
        <f>IF(AN148=0,K148,0)</f>
        <v>0</v>
      </c>
      <c r="AK148" s="20">
        <f>IF(AN148=15,K148,0)</f>
        <v>0</v>
      </c>
      <c r="AL148" s="20">
        <f>IF(AN148=21,K148,0)</f>
        <v>0</v>
      </c>
      <c r="AN148" s="11">
        <v>21</v>
      </c>
      <c r="AO148" s="11">
        <f>H148*0.381960639097335</f>
        <v>0</v>
      </c>
      <c r="AP148" s="11">
        <f>H148*(1-0.381960639097335)</f>
        <v>0</v>
      </c>
      <c r="AQ148" s="27" t="s">
        <v>144</v>
      </c>
      <c r="AV148" s="11">
        <f>AW148+AX148</f>
        <v>0</v>
      </c>
      <c r="AW148" s="11">
        <f>G148*AO148</f>
        <v>0</v>
      </c>
      <c r="AX148" s="11">
        <f>G148*AP148</f>
        <v>0</v>
      </c>
      <c r="AY148" s="29" t="s">
        <v>1084</v>
      </c>
      <c r="AZ148" s="29" t="s">
        <v>1107</v>
      </c>
      <c r="BA148" s="26" t="s">
        <v>1128</v>
      </c>
      <c r="BB148" s="26" t="s">
        <v>1141</v>
      </c>
      <c r="BC148" s="11">
        <f>AW148+AX148</f>
        <v>0</v>
      </c>
      <c r="BD148" s="11">
        <f>H148/(100-BE148)*100</f>
        <v>0</v>
      </c>
      <c r="BE148" s="11">
        <v>0</v>
      </c>
      <c r="BF148" s="11">
        <f>L148</f>
        <v>4759.6799999999994</v>
      </c>
      <c r="BH148" s="20">
        <f>G148*AO148</f>
        <v>0</v>
      </c>
      <c r="BI148" s="20">
        <f>G148*AP148</f>
        <v>0</v>
      </c>
      <c r="BJ148" s="20">
        <f>G148*H148</f>
        <v>0</v>
      </c>
      <c r="BK148" s="20" t="s">
        <v>1164</v>
      </c>
      <c r="BL148" s="11">
        <v>771</v>
      </c>
    </row>
    <row r="149" spans="1:64" x14ac:dyDescent="0.2">
      <c r="A149" s="35"/>
      <c r="B149" s="36"/>
      <c r="C149" s="81" t="s">
        <v>612</v>
      </c>
      <c r="D149" s="36"/>
      <c r="E149" s="82"/>
      <c r="F149" s="36"/>
      <c r="G149" s="83">
        <v>32.159999999999997</v>
      </c>
      <c r="H149" s="36"/>
      <c r="I149" s="36"/>
      <c r="J149" s="36"/>
      <c r="K149" s="36"/>
      <c r="L149" s="36"/>
      <c r="M149" s="35"/>
      <c r="N149" s="32"/>
    </row>
    <row r="150" spans="1:64" x14ac:dyDescent="0.2">
      <c r="A150" s="79" t="s">
        <v>181</v>
      </c>
      <c r="B150" s="79" t="s">
        <v>395</v>
      </c>
      <c r="C150" s="194" t="s">
        <v>613</v>
      </c>
      <c r="D150" s="195"/>
      <c r="E150" s="195"/>
      <c r="F150" s="79" t="s">
        <v>1050</v>
      </c>
      <c r="G150" s="80">
        <v>26.36</v>
      </c>
      <c r="H150" s="80">
        <v>0</v>
      </c>
      <c r="I150" s="80">
        <f>G150*AO150</f>
        <v>0</v>
      </c>
      <c r="J150" s="80">
        <f>G150*AP150</f>
        <v>0</v>
      </c>
      <c r="K150" s="80">
        <f>G150*H150</f>
        <v>0</v>
      </c>
      <c r="L150" s="80">
        <f>G150*150</f>
        <v>3954</v>
      </c>
      <c r="M150" s="94" t="s">
        <v>1066</v>
      </c>
      <c r="N150" s="32"/>
      <c r="Z150" s="11">
        <f>IF(AQ150="5",BJ150,0)</f>
        <v>0</v>
      </c>
      <c r="AB150" s="11">
        <f>IF(AQ150="1",BH150,0)</f>
        <v>0</v>
      </c>
      <c r="AC150" s="11">
        <f>IF(AQ150="1",BI150,0)</f>
        <v>0</v>
      </c>
      <c r="AD150" s="11">
        <f>IF(AQ150="7",BH150,0)</f>
        <v>0</v>
      </c>
      <c r="AE150" s="11">
        <f>IF(AQ150="7",BI150,0)</f>
        <v>0</v>
      </c>
      <c r="AF150" s="11">
        <f>IF(AQ150="2",BH150,0)</f>
        <v>0</v>
      </c>
      <c r="AG150" s="11">
        <f>IF(AQ150="2",BI150,0)</f>
        <v>0</v>
      </c>
      <c r="AH150" s="11">
        <f>IF(AQ150="0",BJ150,0)</f>
        <v>0</v>
      </c>
      <c r="AI150" s="26" t="s">
        <v>76</v>
      </c>
      <c r="AJ150" s="20">
        <f>IF(AN150=0,K150,0)</f>
        <v>0</v>
      </c>
      <c r="AK150" s="20">
        <f>IF(AN150=15,K150,0)</f>
        <v>0</v>
      </c>
      <c r="AL150" s="20">
        <f>IF(AN150=21,K150,0)</f>
        <v>0</v>
      </c>
      <c r="AN150" s="11">
        <v>21</v>
      </c>
      <c r="AO150" s="11">
        <f>H150*0</f>
        <v>0</v>
      </c>
      <c r="AP150" s="11">
        <f>H150*(1-0)</f>
        <v>0</v>
      </c>
      <c r="AQ150" s="27" t="s">
        <v>144</v>
      </c>
      <c r="AV150" s="11">
        <f>AW150+AX150</f>
        <v>0</v>
      </c>
      <c r="AW150" s="11">
        <f>G150*AO150</f>
        <v>0</v>
      </c>
      <c r="AX150" s="11">
        <f>G150*AP150</f>
        <v>0</v>
      </c>
      <c r="AY150" s="29" t="s">
        <v>1084</v>
      </c>
      <c r="AZ150" s="29" t="s">
        <v>1107</v>
      </c>
      <c r="BA150" s="26" t="s">
        <v>1128</v>
      </c>
      <c r="BB150" s="26" t="s">
        <v>1141</v>
      </c>
      <c r="BC150" s="11">
        <f>AW150+AX150</f>
        <v>0</v>
      </c>
      <c r="BD150" s="11">
        <f>H150/(100-BE150)*100</f>
        <v>0</v>
      </c>
      <c r="BE150" s="11">
        <v>0</v>
      </c>
      <c r="BF150" s="11">
        <f>L150</f>
        <v>3954</v>
      </c>
      <c r="BH150" s="20">
        <f>G150*AO150</f>
        <v>0</v>
      </c>
      <c r="BI150" s="20">
        <f>G150*AP150</f>
        <v>0</v>
      </c>
      <c r="BJ150" s="20">
        <f>G150*H150</f>
        <v>0</v>
      </c>
      <c r="BK150" s="20" t="s">
        <v>1164</v>
      </c>
      <c r="BL150" s="11">
        <v>771</v>
      </c>
    </row>
    <row r="151" spans="1:64" x14ac:dyDescent="0.2">
      <c r="A151" s="35"/>
      <c r="B151" s="36"/>
      <c r="C151" s="81" t="s">
        <v>596</v>
      </c>
      <c r="D151" s="36"/>
      <c r="E151" s="82"/>
      <c r="F151" s="36"/>
      <c r="G151" s="83">
        <v>26.36</v>
      </c>
      <c r="H151" s="36"/>
      <c r="I151" s="36"/>
      <c r="J151" s="36"/>
      <c r="K151" s="36"/>
      <c r="L151" s="36"/>
      <c r="M151" s="35"/>
      <c r="N151" s="32"/>
    </row>
    <row r="152" spans="1:64" x14ac:dyDescent="0.2">
      <c r="A152" s="84" t="s">
        <v>182</v>
      </c>
      <c r="B152" s="84" t="s">
        <v>386</v>
      </c>
      <c r="C152" s="198" t="s">
        <v>614</v>
      </c>
      <c r="D152" s="199"/>
      <c r="E152" s="199"/>
      <c r="F152" s="84" t="s">
        <v>1054</v>
      </c>
      <c r="G152" s="85">
        <v>461.56360000000001</v>
      </c>
      <c r="H152" s="85">
        <v>0</v>
      </c>
      <c r="I152" s="85">
        <f>G152*AO152</f>
        <v>0</v>
      </c>
      <c r="J152" s="85">
        <f>G152*AP152</f>
        <v>0</v>
      </c>
      <c r="K152" s="85">
        <f>G152*H152</f>
        <v>0</v>
      </c>
      <c r="L152" s="85">
        <f>G152*152</f>
        <v>70157.667199999996</v>
      </c>
      <c r="M152" s="95" t="s">
        <v>1067</v>
      </c>
      <c r="N152" s="32"/>
      <c r="Z152" s="11">
        <f>IF(AQ152="5",BJ152,0)</f>
        <v>0</v>
      </c>
      <c r="AB152" s="11">
        <f>IF(AQ152="1",BH152,0)</f>
        <v>0</v>
      </c>
      <c r="AC152" s="11">
        <f>IF(AQ152="1",BI152,0)</f>
        <v>0</v>
      </c>
      <c r="AD152" s="11">
        <f>IF(AQ152="7",BH152,0)</f>
        <v>0</v>
      </c>
      <c r="AE152" s="11">
        <f>IF(AQ152="7",BI152,0)</f>
        <v>0</v>
      </c>
      <c r="AF152" s="11">
        <f>IF(AQ152="2",BH152,0)</f>
        <v>0</v>
      </c>
      <c r="AG152" s="11">
        <f>IF(AQ152="2",BI152,0)</f>
        <v>0</v>
      </c>
      <c r="AH152" s="11">
        <f>IF(AQ152="0",BJ152,0)</f>
        <v>0</v>
      </c>
      <c r="AI152" s="26" t="s">
        <v>76</v>
      </c>
      <c r="AJ152" s="21">
        <f>IF(AN152=0,K152,0)</f>
        <v>0</v>
      </c>
      <c r="AK152" s="21">
        <f>IF(AN152=15,K152,0)</f>
        <v>0</v>
      </c>
      <c r="AL152" s="21">
        <f>IF(AN152=21,K152,0)</f>
        <v>0</v>
      </c>
      <c r="AN152" s="11">
        <v>21</v>
      </c>
      <c r="AO152" s="11">
        <f>H152*1</f>
        <v>0</v>
      </c>
      <c r="AP152" s="11">
        <f>H152*(1-1)</f>
        <v>0</v>
      </c>
      <c r="AQ152" s="28" t="s">
        <v>144</v>
      </c>
      <c r="AV152" s="11">
        <f>AW152+AX152</f>
        <v>0</v>
      </c>
      <c r="AW152" s="11">
        <f>G152*AO152</f>
        <v>0</v>
      </c>
      <c r="AX152" s="11">
        <f>G152*AP152</f>
        <v>0</v>
      </c>
      <c r="AY152" s="29" t="s">
        <v>1084</v>
      </c>
      <c r="AZ152" s="29" t="s">
        <v>1107</v>
      </c>
      <c r="BA152" s="26" t="s">
        <v>1128</v>
      </c>
      <c r="BC152" s="11">
        <f>AW152+AX152</f>
        <v>0</v>
      </c>
      <c r="BD152" s="11">
        <f>H152/(100-BE152)*100</f>
        <v>0</v>
      </c>
      <c r="BE152" s="11">
        <v>0</v>
      </c>
      <c r="BF152" s="11">
        <f>L152</f>
        <v>70157.667199999996</v>
      </c>
      <c r="BH152" s="21">
        <f>G152*AO152</f>
        <v>0</v>
      </c>
      <c r="BI152" s="21">
        <f>G152*AP152</f>
        <v>0</v>
      </c>
      <c r="BJ152" s="21">
        <f>G152*H152</f>
        <v>0</v>
      </c>
      <c r="BK152" s="21" t="s">
        <v>1165</v>
      </c>
      <c r="BL152" s="11">
        <v>771</v>
      </c>
    </row>
    <row r="153" spans="1:64" x14ac:dyDescent="0.2">
      <c r="A153" s="35"/>
      <c r="B153" s="36"/>
      <c r="C153" s="81" t="s">
        <v>615</v>
      </c>
      <c r="D153" s="36"/>
      <c r="E153" s="82" t="s">
        <v>945</v>
      </c>
      <c r="F153" s="36"/>
      <c r="G153" s="83">
        <v>448.12</v>
      </c>
      <c r="H153" s="36"/>
      <c r="I153" s="36"/>
      <c r="J153" s="36"/>
      <c r="K153" s="36"/>
      <c r="L153" s="36"/>
      <c r="M153" s="35"/>
      <c r="N153" s="32"/>
    </row>
    <row r="154" spans="1:64" x14ac:dyDescent="0.2">
      <c r="A154" s="35"/>
      <c r="B154" s="36"/>
      <c r="C154" s="81" t="s">
        <v>616</v>
      </c>
      <c r="D154" s="36"/>
      <c r="E154" s="82"/>
      <c r="F154" s="36"/>
      <c r="G154" s="83">
        <v>13.4436</v>
      </c>
      <c r="H154" s="36"/>
      <c r="I154" s="36"/>
      <c r="J154" s="36"/>
      <c r="K154" s="36"/>
      <c r="L154" s="36"/>
      <c r="M154" s="35"/>
      <c r="N154" s="32"/>
    </row>
    <row r="155" spans="1:64" x14ac:dyDescent="0.2">
      <c r="A155" s="77"/>
      <c r="B155" s="76" t="s">
        <v>92</v>
      </c>
      <c r="C155" s="204" t="s">
        <v>118</v>
      </c>
      <c r="D155" s="205"/>
      <c r="E155" s="205"/>
      <c r="F155" s="77" t="s">
        <v>60</v>
      </c>
      <c r="G155" s="77" t="s">
        <v>60</v>
      </c>
      <c r="H155" s="77" t="s">
        <v>60</v>
      </c>
      <c r="I155" s="78">
        <f>SUM(I156:I180)</f>
        <v>0</v>
      </c>
      <c r="J155" s="78">
        <f>SUM(J156:J180)</f>
        <v>0</v>
      </c>
      <c r="K155" s="78">
        <f>SUM(K156:K180)</f>
        <v>0</v>
      </c>
      <c r="L155" s="78">
        <f>SUM(L156:L180)</f>
        <v>296126.4644</v>
      </c>
      <c r="M155" s="93"/>
      <c r="N155" s="32"/>
      <c r="AI155" s="26" t="s">
        <v>76</v>
      </c>
      <c r="AS155" s="31">
        <f>SUM(AJ156:AJ180)</f>
        <v>0</v>
      </c>
      <c r="AT155" s="31">
        <f>SUM(AK156:AK180)</f>
        <v>0</v>
      </c>
      <c r="AU155" s="31">
        <f>SUM(AL156:AL180)</f>
        <v>0</v>
      </c>
    </row>
    <row r="156" spans="1:64" x14ac:dyDescent="0.2">
      <c r="A156" s="79" t="s">
        <v>183</v>
      </c>
      <c r="B156" s="79" t="s">
        <v>396</v>
      </c>
      <c r="C156" s="194" t="s">
        <v>617</v>
      </c>
      <c r="D156" s="195"/>
      <c r="E156" s="195"/>
      <c r="F156" s="79" t="s">
        <v>1050</v>
      </c>
      <c r="G156" s="80">
        <v>91.82</v>
      </c>
      <c r="H156" s="80">
        <v>0</v>
      </c>
      <c r="I156" s="80">
        <f>G156*AO156</f>
        <v>0</v>
      </c>
      <c r="J156" s="80">
        <f>G156*AP156</f>
        <v>0</v>
      </c>
      <c r="K156" s="80">
        <f>G156*H156</f>
        <v>0</v>
      </c>
      <c r="L156" s="80">
        <f>G156*156</f>
        <v>14323.919999999998</v>
      </c>
      <c r="M156" s="94" t="s">
        <v>1066</v>
      </c>
      <c r="N156" s="32"/>
      <c r="Z156" s="11">
        <f>IF(AQ156="5",BJ156,0)</f>
        <v>0</v>
      </c>
      <c r="AB156" s="11">
        <f>IF(AQ156="1",BH156,0)</f>
        <v>0</v>
      </c>
      <c r="AC156" s="11">
        <f>IF(AQ156="1",BI156,0)</f>
        <v>0</v>
      </c>
      <c r="AD156" s="11">
        <f>IF(AQ156="7",BH156,0)</f>
        <v>0</v>
      </c>
      <c r="AE156" s="11">
        <f>IF(AQ156="7",BI156,0)</f>
        <v>0</v>
      </c>
      <c r="AF156" s="11">
        <f>IF(AQ156="2",BH156,0)</f>
        <v>0</v>
      </c>
      <c r="AG156" s="11">
        <f>IF(AQ156="2",BI156,0)</f>
        <v>0</v>
      </c>
      <c r="AH156" s="11">
        <f>IF(AQ156="0",BJ156,0)</f>
        <v>0</v>
      </c>
      <c r="AI156" s="26" t="s">
        <v>76</v>
      </c>
      <c r="AJ156" s="20">
        <f>IF(AN156=0,K156,0)</f>
        <v>0</v>
      </c>
      <c r="AK156" s="20">
        <f>IF(AN156=15,K156,0)</f>
        <v>0</v>
      </c>
      <c r="AL156" s="20">
        <f>IF(AN156=21,K156,0)</f>
        <v>0</v>
      </c>
      <c r="AN156" s="11">
        <v>21</v>
      </c>
      <c r="AO156" s="11">
        <f>H156*0</f>
        <v>0</v>
      </c>
      <c r="AP156" s="11">
        <f>H156*(1-0)</f>
        <v>0</v>
      </c>
      <c r="AQ156" s="27" t="s">
        <v>144</v>
      </c>
      <c r="AV156" s="11">
        <f>AW156+AX156</f>
        <v>0</v>
      </c>
      <c r="AW156" s="11">
        <f>G156*AO156</f>
        <v>0</v>
      </c>
      <c r="AX156" s="11">
        <f>G156*AP156</f>
        <v>0</v>
      </c>
      <c r="AY156" s="29" t="s">
        <v>1085</v>
      </c>
      <c r="AZ156" s="29" t="s">
        <v>1107</v>
      </c>
      <c r="BA156" s="26" t="s">
        <v>1128</v>
      </c>
      <c r="BB156" s="26" t="s">
        <v>1142</v>
      </c>
      <c r="BC156" s="11">
        <f>AW156+AX156</f>
        <v>0</v>
      </c>
      <c r="BD156" s="11">
        <f>H156/(100-BE156)*100</f>
        <v>0</v>
      </c>
      <c r="BE156" s="11">
        <v>0</v>
      </c>
      <c r="BF156" s="11">
        <f>L156</f>
        <v>14323.919999999998</v>
      </c>
      <c r="BH156" s="20">
        <f>G156*AO156</f>
        <v>0</v>
      </c>
      <c r="BI156" s="20">
        <f>G156*AP156</f>
        <v>0</v>
      </c>
      <c r="BJ156" s="20">
        <f>G156*H156</f>
        <v>0</v>
      </c>
      <c r="BK156" s="20" t="s">
        <v>1164</v>
      </c>
      <c r="BL156" s="11">
        <v>776</v>
      </c>
    </row>
    <row r="157" spans="1:64" x14ac:dyDescent="0.2">
      <c r="A157" s="35"/>
      <c r="B157" s="36"/>
      <c r="C157" s="81" t="s">
        <v>618</v>
      </c>
      <c r="D157" s="36"/>
      <c r="E157" s="82" t="s">
        <v>946</v>
      </c>
      <c r="F157" s="36"/>
      <c r="G157" s="83">
        <v>91.82</v>
      </c>
      <c r="H157" s="36"/>
      <c r="I157" s="36"/>
      <c r="J157" s="36"/>
      <c r="K157" s="36"/>
      <c r="L157" s="36"/>
      <c r="M157" s="35"/>
      <c r="N157" s="32"/>
    </row>
    <row r="158" spans="1:64" x14ac:dyDescent="0.2">
      <c r="A158" s="79" t="s">
        <v>184</v>
      </c>
      <c r="B158" s="79" t="s">
        <v>397</v>
      </c>
      <c r="C158" s="194" t="s">
        <v>619</v>
      </c>
      <c r="D158" s="195"/>
      <c r="E158" s="195"/>
      <c r="F158" s="79" t="s">
        <v>1050</v>
      </c>
      <c r="G158" s="80">
        <v>91.82</v>
      </c>
      <c r="H158" s="80">
        <v>0</v>
      </c>
      <c r="I158" s="80">
        <f>G158*AO158</f>
        <v>0</v>
      </c>
      <c r="J158" s="80">
        <f>G158*AP158</f>
        <v>0</v>
      </c>
      <c r="K158" s="80">
        <f>G158*H158</f>
        <v>0</v>
      </c>
      <c r="L158" s="80">
        <f>G158*158</f>
        <v>14507.56</v>
      </c>
      <c r="M158" s="94" t="s">
        <v>1066</v>
      </c>
      <c r="N158" s="32"/>
      <c r="Z158" s="11">
        <f>IF(AQ158="5",BJ158,0)</f>
        <v>0</v>
      </c>
      <c r="AB158" s="11">
        <f>IF(AQ158="1",BH158,0)</f>
        <v>0</v>
      </c>
      <c r="AC158" s="11">
        <f>IF(AQ158="1",BI158,0)</f>
        <v>0</v>
      </c>
      <c r="AD158" s="11">
        <f>IF(AQ158="7",BH158,0)</f>
        <v>0</v>
      </c>
      <c r="AE158" s="11">
        <f>IF(AQ158="7",BI158,0)</f>
        <v>0</v>
      </c>
      <c r="AF158" s="11">
        <f>IF(AQ158="2",BH158,0)</f>
        <v>0</v>
      </c>
      <c r="AG158" s="11">
        <f>IF(AQ158="2",BI158,0)</f>
        <v>0</v>
      </c>
      <c r="AH158" s="11">
        <f>IF(AQ158="0",BJ158,0)</f>
        <v>0</v>
      </c>
      <c r="AI158" s="26" t="s">
        <v>76</v>
      </c>
      <c r="AJ158" s="20">
        <f>IF(AN158=0,K158,0)</f>
        <v>0</v>
      </c>
      <c r="AK158" s="20">
        <f>IF(AN158=15,K158,0)</f>
        <v>0</v>
      </c>
      <c r="AL158" s="20">
        <f>IF(AN158=21,K158,0)</f>
        <v>0</v>
      </c>
      <c r="AN158" s="11">
        <v>21</v>
      </c>
      <c r="AO158" s="11">
        <f>H158*0</f>
        <v>0</v>
      </c>
      <c r="AP158" s="11">
        <f>H158*(1-0)</f>
        <v>0</v>
      </c>
      <c r="AQ158" s="27" t="s">
        <v>144</v>
      </c>
      <c r="AV158" s="11">
        <f>AW158+AX158</f>
        <v>0</v>
      </c>
      <c r="AW158" s="11">
        <f>G158*AO158</f>
        <v>0</v>
      </c>
      <c r="AX158" s="11">
        <f>G158*AP158</f>
        <v>0</v>
      </c>
      <c r="AY158" s="29" t="s">
        <v>1085</v>
      </c>
      <c r="AZ158" s="29" t="s">
        <v>1107</v>
      </c>
      <c r="BA158" s="26" t="s">
        <v>1128</v>
      </c>
      <c r="BB158" s="26" t="s">
        <v>1142</v>
      </c>
      <c r="BC158" s="11">
        <f>AW158+AX158</f>
        <v>0</v>
      </c>
      <c r="BD158" s="11">
        <f>H158/(100-BE158)*100</f>
        <v>0</v>
      </c>
      <c r="BE158" s="11">
        <v>0</v>
      </c>
      <c r="BF158" s="11">
        <f>L158</f>
        <v>14507.56</v>
      </c>
      <c r="BH158" s="20">
        <f>G158*AO158</f>
        <v>0</v>
      </c>
      <c r="BI158" s="20">
        <f>G158*AP158</f>
        <v>0</v>
      </c>
      <c r="BJ158" s="20">
        <f>G158*H158</f>
        <v>0</v>
      </c>
      <c r="BK158" s="20" t="s">
        <v>1164</v>
      </c>
      <c r="BL158" s="11">
        <v>776</v>
      </c>
    </row>
    <row r="159" spans="1:64" x14ac:dyDescent="0.2">
      <c r="A159" s="35"/>
      <c r="B159" s="36"/>
      <c r="C159" s="81" t="s">
        <v>620</v>
      </c>
      <c r="D159" s="36"/>
      <c r="E159" s="82"/>
      <c r="F159" s="36"/>
      <c r="G159" s="83">
        <v>91.82</v>
      </c>
      <c r="H159" s="36"/>
      <c r="I159" s="36"/>
      <c r="J159" s="36"/>
      <c r="K159" s="36"/>
      <c r="L159" s="36"/>
      <c r="M159" s="35"/>
      <c r="N159" s="32"/>
    </row>
    <row r="160" spans="1:64" x14ac:dyDescent="0.2">
      <c r="A160" s="79" t="s">
        <v>185</v>
      </c>
      <c r="B160" s="79" t="s">
        <v>398</v>
      </c>
      <c r="C160" s="194" t="s">
        <v>621</v>
      </c>
      <c r="D160" s="195"/>
      <c r="E160" s="195"/>
      <c r="F160" s="79" t="s">
        <v>1050</v>
      </c>
      <c r="G160" s="80">
        <v>96.28</v>
      </c>
      <c r="H160" s="80">
        <v>0</v>
      </c>
      <c r="I160" s="80">
        <f>G160*AO160</f>
        <v>0</v>
      </c>
      <c r="J160" s="80">
        <f>G160*AP160</f>
        <v>0</v>
      </c>
      <c r="K160" s="80">
        <f>G160*H160</f>
        <v>0</v>
      </c>
      <c r="L160" s="80">
        <f>G160*160</f>
        <v>15404.8</v>
      </c>
      <c r="M160" s="94" t="s">
        <v>1066</v>
      </c>
      <c r="N160" s="32"/>
      <c r="Z160" s="11">
        <f>IF(AQ160="5",BJ160,0)</f>
        <v>0</v>
      </c>
      <c r="AB160" s="11">
        <f>IF(AQ160="1",BH160,0)</f>
        <v>0</v>
      </c>
      <c r="AC160" s="11">
        <f>IF(AQ160="1",BI160,0)</f>
        <v>0</v>
      </c>
      <c r="AD160" s="11">
        <f>IF(AQ160="7",BH160,0)</f>
        <v>0</v>
      </c>
      <c r="AE160" s="11">
        <f>IF(AQ160="7",BI160,0)</f>
        <v>0</v>
      </c>
      <c r="AF160" s="11">
        <f>IF(AQ160="2",BH160,0)</f>
        <v>0</v>
      </c>
      <c r="AG160" s="11">
        <f>IF(AQ160="2",BI160,0)</f>
        <v>0</v>
      </c>
      <c r="AH160" s="11">
        <f>IF(AQ160="0",BJ160,0)</f>
        <v>0</v>
      </c>
      <c r="AI160" s="26" t="s">
        <v>76</v>
      </c>
      <c r="AJ160" s="20">
        <f>IF(AN160=0,K160,0)</f>
        <v>0</v>
      </c>
      <c r="AK160" s="20">
        <f>IF(AN160=15,K160,0)</f>
        <v>0</v>
      </c>
      <c r="AL160" s="20">
        <f>IF(AN160=21,K160,0)</f>
        <v>0</v>
      </c>
      <c r="AN160" s="11">
        <v>21</v>
      </c>
      <c r="AO160" s="11">
        <f>H160*0</f>
        <v>0</v>
      </c>
      <c r="AP160" s="11">
        <f>H160*(1-0)</f>
        <v>0</v>
      </c>
      <c r="AQ160" s="27" t="s">
        <v>144</v>
      </c>
      <c r="AV160" s="11">
        <f>AW160+AX160</f>
        <v>0</v>
      </c>
      <c r="AW160" s="11">
        <f>G160*AO160</f>
        <v>0</v>
      </c>
      <c r="AX160" s="11">
        <f>G160*AP160</f>
        <v>0</v>
      </c>
      <c r="AY160" s="29" t="s">
        <v>1085</v>
      </c>
      <c r="AZ160" s="29" t="s">
        <v>1107</v>
      </c>
      <c r="BA160" s="26" t="s">
        <v>1128</v>
      </c>
      <c r="BB160" s="26" t="s">
        <v>1142</v>
      </c>
      <c r="BC160" s="11">
        <f>AW160+AX160</f>
        <v>0</v>
      </c>
      <c r="BD160" s="11">
        <f>H160/(100-BE160)*100</f>
        <v>0</v>
      </c>
      <c r="BE160" s="11">
        <v>0</v>
      </c>
      <c r="BF160" s="11">
        <f>L160</f>
        <v>15404.8</v>
      </c>
      <c r="BH160" s="20">
        <f>G160*AO160</f>
        <v>0</v>
      </c>
      <c r="BI160" s="20">
        <f>G160*AP160</f>
        <v>0</v>
      </c>
      <c r="BJ160" s="20">
        <f>G160*H160</f>
        <v>0</v>
      </c>
      <c r="BK160" s="20" t="s">
        <v>1164</v>
      </c>
      <c r="BL160" s="11">
        <v>776</v>
      </c>
    </row>
    <row r="161" spans="1:64" x14ac:dyDescent="0.2">
      <c r="A161" s="35"/>
      <c r="B161" s="36"/>
      <c r="C161" s="81" t="s">
        <v>622</v>
      </c>
      <c r="D161" s="36"/>
      <c r="E161" s="82"/>
      <c r="F161" s="36"/>
      <c r="G161" s="83">
        <v>96.28</v>
      </c>
      <c r="H161" s="36"/>
      <c r="I161" s="36"/>
      <c r="J161" s="36"/>
      <c r="K161" s="36"/>
      <c r="L161" s="36"/>
      <c r="M161" s="35"/>
      <c r="N161" s="32"/>
    </row>
    <row r="162" spans="1:64" x14ac:dyDescent="0.2">
      <c r="A162" s="84" t="s">
        <v>186</v>
      </c>
      <c r="B162" s="84" t="s">
        <v>386</v>
      </c>
      <c r="C162" s="198" t="s">
        <v>623</v>
      </c>
      <c r="D162" s="199"/>
      <c r="E162" s="199"/>
      <c r="F162" s="84" t="s">
        <v>1053</v>
      </c>
      <c r="G162" s="85">
        <v>1.4441999999999999</v>
      </c>
      <c r="H162" s="85">
        <v>0</v>
      </c>
      <c r="I162" s="85">
        <f>G162*AO162</f>
        <v>0</v>
      </c>
      <c r="J162" s="85">
        <f>G162*AP162</f>
        <v>0</v>
      </c>
      <c r="K162" s="85">
        <f>G162*H162</f>
        <v>0</v>
      </c>
      <c r="L162" s="85">
        <f>G162*162</f>
        <v>233.96039999999999</v>
      </c>
      <c r="M162" s="95" t="s">
        <v>1067</v>
      </c>
      <c r="N162" s="32"/>
      <c r="Z162" s="11">
        <f>IF(AQ162="5",BJ162,0)</f>
        <v>0</v>
      </c>
      <c r="AB162" s="11">
        <f>IF(AQ162="1",BH162,0)</f>
        <v>0</v>
      </c>
      <c r="AC162" s="11">
        <f>IF(AQ162="1",BI162,0)</f>
        <v>0</v>
      </c>
      <c r="AD162" s="11">
        <f>IF(AQ162="7",BH162,0)</f>
        <v>0</v>
      </c>
      <c r="AE162" s="11">
        <f>IF(AQ162="7",BI162,0)</f>
        <v>0</v>
      </c>
      <c r="AF162" s="11">
        <f>IF(AQ162="2",BH162,0)</f>
        <v>0</v>
      </c>
      <c r="AG162" s="11">
        <f>IF(AQ162="2",BI162,0)</f>
        <v>0</v>
      </c>
      <c r="AH162" s="11">
        <f>IF(AQ162="0",BJ162,0)</f>
        <v>0</v>
      </c>
      <c r="AI162" s="26" t="s">
        <v>76</v>
      </c>
      <c r="AJ162" s="21">
        <f>IF(AN162=0,K162,0)</f>
        <v>0</v>
      </c>
      <c r="AK162" s="21">
        <f>IF(AN162=15,K162,0)</f>
        <v>0</v>
      </c>
      <c r="AL162" s="21">
        <f>IF(AN162=21,K162,0)</f>
        <v>0</v>
      </c>
      <c r="AN162" s="11">
        <v>21</v>
      </c>
      <c r="AO162" s="11">
        <f>H162*1</f>
        <v>0</v>
      </c>
      <c r="AP162" s="11">
        <f>H162*(1-1)</f>
        <v>0</v>
      </c>
      <c r="AQ162" s="28" t="s">
        <v>144</v>
      </c>
      <c r="AV162" s="11">
        <f>AW162+AX162</f>
        <v>0</v>
      </c>
      <c r="AW162" s="11">
        <f>G162*AO162</f>
        <v>0</v>
      </c>
      <c r="AX162" s="11">
        <f>G162*AP162</f>
        <v>0</v>
      </c>
      <c r="AY162" s="29" t="s">
        <v>1085</v>
      </c>
      <c r="AZ162" s="29" t="s">
        <v>1107</v>
      </c>
      <c r="BA162" s="26" t="s">
        <v>1128</v>
      </c>
      <c r="BC162" s="11">
        <f>AW162+AX162</f>
        <v>0</v>
      </c>
      <c r="BD162" s="11">
        <f>H162/(100-BE162)*100</f>
        <v>0</v>
      </c>
      <c r="BE162" s="11">
        <v>0</v>
      </c>
      <c r="BF162" s="11">
        <f>L162</f>
        <v>233.96039999999999</v>
      </c>
      <c r="BH162" s="21">
        <f>G162*AO162</f>
        <v>0</v>
      </c>
      <c r="BI162" s="21">
        <f>G162*AP162</f>
        <v>0</v>
      </c>
      <c r="BJ162" s="21">
        <f>G162*H162</f>
        <v>0</v>
      </c>
      <c r="BK162" s="21" t="s">
        <v>1165</v>
      </c>
      <c r="BL162" s="11">
        <v>776</v>
      </c>
    </row>
    <row r="163" spans="1:64" x14ac:dyDescent="0.2">
      <c r="A163" s="35"/>
      <c r="B163" s="36"/>
      <c r="C163" s="81" t="s">
        <v>624</v>
      </c>
      <c r="D163" s="36"/>
      <c r="E163" s="82" t="s">
        <v>940</v>
      </c>
      <c r="F163" s="36"/>
      <c r="G163" s="83">
        <v>1.4441999999999999</v>
      </c>
      <c r="H163" s="36"/>
      <c r="I163" s="36"/>
      <c r="J163" s="36"/>
      <c r="K163" s="36"/>
      <c r="L163" s="36"/>
      <c r="M163" s="35"/>
      <c r="N163" s="32"/>
    </row>
    <row r="164" spans="1:64" x14ac:dyDescent="0.2">
      <c r="A164" s="79" t="s">
        <v>187</v>
      </c>
      <c r="B164" s="79" t="s">
        <v>399</v>
      </c>
      <c r="C164" s="194" t="s">
        <v>625</v>
      </c>
      <c r="D164" s="195"/>
      <c r="E164" s="195"/>
      <c r="F164" s="79" t="s">
        <v>1050</v>
      </c>
      <c r="G164" s="80">
        <v>96.28</v>
      </c>
      <c r="H164" s="80">
        <v>0</v>
      </c>
      <c r="I164" s="80">
        <f>G164*AO164</f>
        <v>0</v>
      </c>
      <c r="J164" s="80">
        <f>G164*AP164</f>
        <v>0</v>
      </c>
      <c r="K164" s="80">
        <f>G164*H164</f>
        <v>0</v>
      </c>
      <c r="L164" s="80">
        <f>G164*164</f>
        <v>15789.92</v>
      </c>
      <c r="M164" s="94" t="s">
        <v>1066</v>
      </c>
      <c r="N164" s="32"/>
      <c r="Z164" s="11">
        <f>IF(AQ164="5",BJ164,0)</f>
        <v>0</v>
      </c>
      <c r="AB164" s="11">
        <f>IF(AQ164="1",BH164,0)</f>
        <v>0</v>
      </c>
      <c r="AC164" s="11">
        <f>IF(AQ164="1",BI164,0)</f>
        <v>0</v>
      </c>
      <c r="AD164" s="11">
        <f>IF(AQ164="7",BH164,0)</f>
        <v>0</v>
      </c>
      <c r="AE164" s="11">
        <f>IF(AQ164="7",BI164,0)</f>
        <v>0</v>
      </c>
      <c r="AF164" s="11">
        <f>IF(AQ164="2",BH164,0)</f>
        <v>0</v>
      </c>
      <c r="AG164" s="11">
        <f>IF(AQ164="2",BI164,0)</f>
        <v>0</v>
      </c>
      <c r="AH164" s="11">
        <f>IF(AQ164="0",BJ164,0)</f>
        <v>0</v>
      </c>
      <c r="AI164" s="26" t="s">
        <v>76</v>
      </c>
      <c r="AJ164" s="20">
        <f>IF(AN164=0,K164,0)</f>
        <v>0</v>
      </c>
      <c r="AK164" s="20">
        <f>IF(AN164=15,K164,0)</f>
        <v>0</v>
      </c>
      <c r="AL164" s="20">
        <f>IF(AN164=21,K164,0)</f>
        <v>0</v>
      </c>
      <c r="AN164" s="11">
        <v>21</v>
      </c>
      <c r="AO164" s="11">
        <f>H164*0.277029291458082</f>
        <v>0</v>
      </c>
      <c r="AP164" s="11">
        <f>H164*(1-0.277029291458082)</f>
        <v>0</v>
      </c>
      <c r="AQ164" s="27" t="s">
        <v>144</v>
      </c>
      <c r="AV164" s="11">
        <f>AW164+AX164</f>
        <v>0</v>
      </c>
      <c r="AW164" s="11">
        <f>G164*AO164</f>
        <v>0</v>
      </c>
      <c r="AX164" s="11">
        <f>G164*AP164</f>
        <v>0</v>
      </c>
      <c r="AY164" s="29" t="s">
        <v>1085</v>
      </c>
      <c r="AZ164" s="29" t="s">
        <v>1107</v>
      </c>
      <c r="BA164" s="26" t="s">
        <v>1128</v>
      </c>
      <c r="BB164" s="26" t="s">
        <v>1142</v>
      </c>
      <c r="BC164" s="11">
        <f>AW164+AX164</f>
        <v>0</v>
      </c>
      <c r="BD164" s="11">
        <f>H164/(100-BE164)*100</f>
        <v>0</v>
      </c>
      <c r="BE164" s="11">
        <v>0</v>
      </c>
      <c r="BF164" s="11">
        <f>L164</f>
        <v>15789.92</v>
      </c>
      <c r="BH164" s="20">
        <f>G164*AO164</f>
        <v>0</v>
      </c>
      <c r="BI164" s="20">
        <f>G164*AP164</f>
        <v>0</v>
      </c>
      <c r="BJ164" s="20">
        <f>G164*H164</f>
        <v>0</v>
      </c>
      <c r="BK164" s="20" t="s">
        <v>1164</v>
      </c>
      <c r="BL164" s="11">
        <v>776</v>
      </c>
    </row>
    <row r="165" spans="1:64" x14ac:dyDescent="0.2">
      <c r="A165" s="35"/>
      <c r="B165" s="86" t="s">
        <v>354</v>
      </c>
      <c r="C165" s="196" t="s">
        <v>626</v>
      </c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32"/>
    </row>
    <row r="166" spans="1:64" x14ac:dyDescent="0.2">
      <c r="A166" s="35"/>
      <c r="B166" s="36"/>
      <c r="C166" s="81" t="s">
        <v>627</v>
      </c>
      <c r="D166" s="36"/>
      <c r="E166" s="82"/>
      <c r="F166" s="36"/>
      <c r="G166" s="83">
        <v>96.28</v>
      </c>
      <c r="H166" s="36"/>
      <c r="I166" s="36"/>
      <c r="J166" s="36"/>
      <c r="K166" s="36"/>
      <c r="L166" s="36"/>
      <c r="M166" s="35"/>
      <c r="N166" s="32"/>
    </row>
    <row r="167" spans="1:64" x14ac:dyDescent="0.2">
      <c r="A167" s="84" t="s">
        <v>188</v>
      </c>
      <c r="B167" s="84" t="s">
        <v>400</v>
      </c>
      <c r="C167" s="198" t="s">
        <v>628</v>
      </c>
      <c r="D167" s="199"/>
      <c r="E167" s="199"/>
      <c r="F167" s="84" t="s">
        <v>1050</v>
      </c>
      <c r="G167" s="85">
        <v>105.908</v>
      </c>
      <c r="H167" s="85">
        <v>0</v>
      </c>
      <c r="I167" s="85">
        <f>G167*AO167</f>
        <v>0</v>
      </c>
      <c r="J167" s="85">
        <f>G167*AP167</f>
        <v>0</v>
      </c>
      <c r="K167" s="85">
        <f>G167*H167</f>
        <v>0</v>
      </c>
      <c r="L167" s="85">
        <f>G167*167</f>
        <v>17686.635999999999</v>
      </c>
      <c r="M167" s="95" t="s">
        <v>1067</v>
      </c>
      <c r="N167" s="32"/>
      <c r="Z167" s="11">
        <f>IF(AQ167="5",BJ167,0)</f>
        <v>0</v>
      </c>
      <c r="AB167" s="11">
        <f>IF(AQ167="1",BH167,0)</f>
        <v>0</v>
      </c>
      <c r="AC167" s="11">
        <f>IF(AQ167="1",BI167,0)</f>
        <v>0</v>
      </c>
      <c r="AD167" s="11">
        <f>IF(AQ167="7",BH167,0)</f>
        <v>0</v>
      </c>
      <c r="AE167" s="11">
        <f>IF(AQ167="7",BI167,0)</f>
        <v>0</v>
      </c>
      <c r="AF167" s="11">
        <f>IF(AQ167="2",BH167,0)</f>
        <v>0</v>
      </c>
      <c r="AG167" s="11">
        <f>IF(AQ167="2",BI167,0)</f>
        <v>0</v>
      </c>
      <c r="AH167" s="11">
        <f>IF(AQ167="0",BJ167,0)</f>
        <v>0</v>
      </c>
      <c r="AI167" s="26" t="s">
        <v>76</v>
      </c>
      <c r="AJ167" s="21">
        <f>IF(AN167=0,K167,0)</f>
        <v>0</v>
      </c>
      <c r="AK167" s="21">
        <f>IF(AN167=15,K167,0)</f>
        <v>0</v>
      </c>
      <c r="AL167" s="21">
        <f>IF(AN167=21,K167,0)</f>
        <v>0</v>
      </c>
      <c r="AN167" s="11">
        <v>21</v>
      </c>
      <c r="AO167" s="11">
        <f>H167*1</f>
        <v>0</v>
      </c>
      <c r="AP167" s="11">
        <f>H167*(1-1)</f>
        <v>0</v>
      </c>
      <c r="AQ167" s="28" t="s">
        <v>144</v>
      </c>
      <c r="AV167" s="11">
        <f>AW167+AX167</f>
        <v>0</v>
      </c>
      <c r="AW167" s="11">
        <f>G167*AO167</f>
        <v>0</v>
      </c>
      <c r="AX167" s="11">
        <f>G167*AP167</f>
        <v>0</v>
      </c>
      <c r="AY167" s="29" t="s">
        <v>1085</v>
      </c>
      <c r="AZ167" s="29" t="s">
        <v>1107</v>
      </c>
      <c r="BA167" s="26" t="s">
        <v>1128</v>
      </c>
      <c r="BC167" s="11">
        <f>AW167+AX167</f>
        <v>0</v>
      </c>
      <c r="BD167" s="11">
        <f>H167/(100-BE167)*100</f>
        <v>0</v>
      </c>
      <c r="BE167" s="11">
        <v>0</v>
      </c>
      <c r="BF167" s="11">
        <f>L167</f>
        <v>17686.635999999999</v>
      </c>
      <c r="BH167" s="21">
        <f>G167*AO167</f>
        <v>0</v>
      </c>
      <c r="BI167" s="21">
        <f>G167*AP167</f>
        <v>0</v>
      </c>
      <c r="BJ167" s="21">
        <f>G167*H167</f>
        <v>0</v>
      </c>
      <c r="BK167" s="21" t="s">
        <v>1165</v>
      </c>
      <c r="BL167" s="11">
        <v>776</v>
      </c>
    </row>
    <row r="168" spans="1:64" x14ac:dyDescent="0.2">
      <c r="A168" s="35"/>
      <c r="B168" s="36"/>
      <c r="C168" s="81" t="s">
        <v>627</v>
      </c>
      <c r="D168" s="36"/>
      <c r="E168" s="82"/>
      <c r="F168" s="36"/>
      <c r="G168" s="83">
        <v>96.28</v>
      </c>
      <c r="H168" s="36"/>
      <c r="I168" s="36"/>
      <c r="J168" s="36"/>
      <c r="K168" s="36"/>
      <c r="L168" s="36"/>
      <c r="M168" s="35"/>
      <c r="N168" s="32"/>
    </row>
    <row r="169" spans="1:64" x14ac:dyDescent="0.2">
      <c r="A169" s="35"/>
      <c r="B169" s="36"/>
      <c r="C169" s="81" t="s">
        <v>629</v>
      </c>
      <c r="D169" s="36"/>
      <c r="E169" s="82"/>
      <c r="F169" s="36"/>
      <c r="G169" s="83">
        <v>9.6280000000000001</v>
      </c>
      <c r="H169" s="36"/>
      <c r="I169" s="36"/>
      <c r="J169" s="36"/>
      <c r="K169" s="36"/>
      <c r="L169" s="36"/>
      <c r="M169" s="35"/>
      <c r="N169" s="32"/>
    </row>
    <row r="170" spans="1:64" x14ac:dyDescent="0.2">
      <c r="A170" s="79" t="s">
        <v>189</v>
      </c>
      <c r="B170" s="79" t="s">
        <v>401</v>
      </c>
      <c r="C170" s="194" t="s">
        <v>630</v>
      </c>
      <c r="D170" s="195"/>
      <c r="E170" s="195"/>
      <c r="F170" s="79" t="s">
        <v>1051</v>
      </c>
      <c r="G170" s="80">
        <v>79.680000000000007</v>
      </c>
      <c r="H170" s="80">
        <v>0</v>
      </c>
      <c r="I170" s="80">
        <f>G170*AO170</f>
        <v>0</v>
      </c>
      <c r="J170" s="80">
        <f>G170*AP170</f>
        <v>0</v>
      </c>
      <c r="K170" s="80">
        <f>G170*H170</f>
        <v>0</v>
      </c>
      <c r="L170" s="80">
        <f>G170*170</f>
        <v>13545.6</v>
      </c>
      <c r="M170" s="94" t="s">
        <v>1066</v>
      </c>
      <c r="N170" s="32"/>
      <c r="Z170" s="11">
        <f>IF(AQ170="5",BJ170,0)</f>
        <v>0</v>
      </c>
      <c r="AB170" s="11">
        <f>IF(AQ170="1",BH170,0)</f>
        <v>0</v>
      </c>
      <c r="AC170" s="11">
        <f>IF(AQ170="1",BI170,0)</f>
        <v>0</v>
      </c>
      <c r="AD170" s="11">
        <f>IF(AQ170="7",BH170,0)</f>
        <v>0</v>
      </c>
      <c r="AE170" s="11">
        <f>IF(AQ170="7",BI170,0)</f>
        <v>0</v>
      </c>
      <c r="AF170" s="11">
        <f>IF(AQ170="2",BH170,0)</f>
        <v>0</v>
      </c>
      <c r="AG170" s="11">
        <f>IF(AQ170="2",BI170,0)</f>
        <v>0</v>
      </c>
      <c r="AH170" s="11">
        <f>IF(AQ170="0",BJ170,0)</f>
        <v>0</v>
      </c>
      <c r="AI170" s="26" t="s">
        <v>76</v>
      </c>
      <c r="AJ170" s="20">
        <f>IF(AN170=0,K170,0)</f>
        <v>0</v>
      </c>
      <c r="AK170" s="20">
        <f>IF(AN170=15,K170,0)</f>
        <v>0</v>
      </c>
      <c r="AL170" s="20">
        <f>IF(AN170=21,K170,0)</f>
        <v>0</v>
      </c>
      <c r="AN170" s="11">
        <v>21</v>
      </c>
      <c r="AO170" s="11">
        <f>H170*0.244292806410646</f>
        <v>0</v>
      </c>
      <c r="AP170" s="11">
        <f>H170*(1-0.244292806410646)</f>
        <v>0</v>
      </c>
      <c r="AQ170" s="27" t="s">
        <v>144</v>
      </c>
      <c r="AV170" s="11">
        <f>AW170+AX170</f>
        <v>0</v>
      </c>
      <c r="AW170" s="11">
        <f>G170*AO170</f>
        <v>0</v>
      </c>
      <c r="AX170" s="11">
        <f>G170*AP170</f>
        <v>0</v>
      </c>
      <c r="AY170" s="29" t="s">
        <v>1085</v>
      </c>
      <c r="AZ170" s="29" t="s">
        <v>1107</v>
      </c>
      <c r="BA170" s="26" t="s">
        <v>1128</v>
      </c>
      <c r="BB170" s="26" t="s">
        <v>1142</v>
      </c>
      <c r="BC170" s="11">
        <f>AW170+AX170</f>
        <v>0</v>
      </c>
      <c r="BD170" s="11">
        <f>H170/(100-BE170)*100</f>
        <v>0</v>
      </c>
      <c r="BE170" s="11">
        <v>0</v>
      </c>
      <c r="BF170" s="11">
        <f>L170</f>
        <v>13545.6</v>
      </c>
      <c r="BH170" s="20">
        <f>G170*AO170</f>
        <v>0</v>
      </c>
      <c r="BI170" s="20">
        <f>G170*AP170</f>
        <v>0</v>
      </c>
      <c r="BJ170" s="20">
        <f>G170*H170</f>
        <v>0</v>
      </c>
      <c r="BK170" s="20" t="s">
        <v>1164</v>
      </c>
      <c r="BL170" s="11">
        <v>776</v>
      </c>
    </row>
    <row r="171" spans="1:64" x14ac:dyDescent="0.2">
      <c r="A171" s="35"/>
      <c r="B171" s="86" t="s">
        <v>354</v>
      </c>
      <c r="C171" s="196" t="s">
        <v>631</v>
      </c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32"/>
    </row>
    <row r="172" spans="1:64" x14ac:dyDescent="0.2">
      <c r="A172" s="35"/>
      <c r="B172" s="36"/>
      <c r="C172" s="81" t="s">
        <v>632</v>
      </c>
      <c r="D172" s="36"/>
      <c r="E172" s="82" t="s">
        <v>947</v>
      </c>
      <c r="F172" s="36"/>
      <c r="G172" s="83">
        <v>83.78</v>
      </c>
      <c r="H172" s="36"/>
      <c r="I172" s="36"/>
      <c r="J172" s="36"/>
      <c r="K172" s="36"/>
      <c r="L172" s="36"/>
      <c r="M172" s="35"/>
      <c r="N172" s="32"/>
    </row>
    <row r="173" spans="1:64" x14ac:dyDescent="0.2">
      <c r="A173" s="35"/>
      <c r="B173" s="36"/>
      <c r="C173" s="81" t="s">
        <v>633</v>
      </c>
      <c r="D173" s="36"/>
      <c r="E173" s="82" t="s">
        <v>948</v>
      </c>
      <c r="F173" s="36"/>
      <c r="G173" s="83">
        <v>-4.0999999999999996</v>
      </c>
      <c r="H173" s="36"/>
      <c r="I173" s="36"/>
      <c r="J173" s="36"/>
      <c r="K173" s="36"/>
      <c r="L173" s="36"/>
      <c r="M173" s="35"/>
      <c r="N173" s="32"/>
    </row>
    <row r="174" spans="1:64" x14ac:dyDescent="0.2">
      <c r="A174" s="84" t="s">
        <v>190</v>
      </c>
      <c r="B174" s="84" t="s">
        <v>402</v>
      </c>
      <c r="C174" s="198" t="s">
        <v>634</v>
      </c>
      <c r="D174" s="199"/>
      <c r="E174" s="199"/>
      <c r="F174" s="84" t="s">
        <v>1051</v>
      </c>
      <c r="G174" s="85">
        <v>87.647999999999996</v>
      </c>
      <c r="H174" s="85">
        <v>0</v>
      </c>
      <c r="I174" s="85">
        <f>G174*AO174</f>
        <v>0</v>
      </c>
      <c r="J174" s="85">
        <f>G174*AP174</f>
        <v>0</v>
      </c>
      <c r="K174" s="85">
        <f>G174*H174</f>
        <v>0</v>
      </c>
      <c r="L174" s="85">
        <f>G174*174</f>
        <v>15250.751999999999</v>
      </c>
      <c r="M174" s="95" t="s">
        <v>1067</v>
      </c>
      <c r="N174" s="32"/>
      <c r="Z174" s="11">
        <f>IF(AQ174="5",BJ174,0)</f>
        <v>0</v>
      </c>
      <c r="AB174" s="11">
        <f>IF(AQ174="1",BH174,0)</f>
        <v>0</v>
      </c>
      <c r="AC174" s="11">
        <f>IF(AQ174="1",BI174,0)</f>
        <v>0</v>
      </c>
      <c r="AD174" s="11">
        <f>IF(AQ174="7",BH174,0)</f>
        <v>0</v>
      </c>
      <c r="AE174" s="11">
        <f>IF(AQ174="7",BI174,0)</f>
        <v>0</v>
      </c>
      <c r="AF174" s="11">
        <f>IF(AQ174="2",BH174,0)</f>
        <v>0</v>
      </c>
      <c r="AG174" s="11">
        <f>IF(AQ174="2",BI174,0)</f>
        <v>0</v>
      </c>
      <c r="AH174" s="11">
        <f>IF(AQ174="0",BJ174,0)</f>
        <v>0</v>
      </c>
      <c r="AI174" s="26" t="s">
        <v>76</v>
      </c>
      <c r="AJ174" s="21">
        <f>IF(AN174=0,K174,0)</f>
        <v>0</v>
      </c>
      <c r="AK174" s="21">
        <f>IF(AN174=15,K174,0)</f>
        <v>0</v>
      </c>
      <c r="AL174" s="21">
        <f>IF(AN174=21,K174,0)</f>
        <v>0</v>
      </c>
      <c r="AN174" s="11">
        <v>21</v>
      </c>
      <c r="AO174" s="11">
        <f>H174*1</f>
        <v>0</v>
      </c>
      <c r="AP174" s="11">
        <f>H174*(1-1)</f>
        <v>0</v>
      </c>
      <c r="AQ174" s="28" t="s">
        <v>144</v>
      </c>
      <c r="AV174" s="11">
        <f>AW174+AX174</f>
        <v>0</v>
      </c>
      <c r="AW174" s="11">
        <f>G174*AO174</f>
        <v>0</v>
      </c>
      <c r="AX174" s="11">
        <f>G174*AP174</f>
        <v>0</v>
      </c>
      <c r="AY174" s="29" t="s">
        <v>1085</v>
      </c>
      <c r="AZ174" s="29" t="s">
        <v>1107</v>
      </c>
      <c r="BA174" s="26" t="s">
        <v>1128</v>
      </c>
      <c r="BC174" s="11">
        <f>AW174+AX174</f>
        <v>0</v>
      </c>
      <c r="BD174" s="11">
        <f>H174/(100-BE174)*100</f>
        <v>0</v>
      </c>
      <c r="BE174" s="11">
        <v>0</v>
      </c>
      <c r="BF174" s="11">
        <f>L174</f>
        <v>15250.751999999999</v>
      </c>
      <c r="BH174" s="21">
        <f>G174*AO174</f>
        <v>0</v>
      </c>
      <c r="BI174" s="21">
        <f>G174*AP174</f>
        <v>0</v>
      </c>
      <c r="BJ174" s="21">
        <f>G174*H174</f>
        <v>0</v>
      </c>
      <c r="BK174" s="21" t="s">
        <v>1165</v>
      </c>
      <c r="BL174" s="11">
        <v>776</v>
      </c>
    </row>
    <row r="175" spans="1:64" x14ac:dyDescent="0.2">
      <c r="A175" s="35"/>
      <c r="B175" s="36"/>
      <c r="C175" s="81" t="s">
        <v>635</v>
      </c>
      <c r="D175" s="36"/>
      <c r="E175" s="82" t="s">
        <v>949</v>
      </c>
      <c r="F175" s="36"/>
      <c r="G175" s="83">
        <v>79.680000000000007</v>
      </c>
      <c r="H175" s="36"/>
      <c r="I175" s="36"/>
      <c r="J175" s="36"/>
      <c r="K175" s="36"/>
      <c r="L175" s="36"/>
      <c r="M175" s="35"/>
      <c r="N175" s="32"/>
    </row>
    <row r="176" spans="1:64" x14ac:dyDescent="0.2">
      <c r="A176" s="35"/>
      <c r="B176" s="36"/>
      <c r="C176" s="81" t="s">
        <v>636</v>
      </c>
      <c r="D176" s="36"/>
      <c r="E176" s="82"/>
      <c r="F176" s="36"/>
      <c r="G176" s="83">
        <v>7.968</v>
      </c>
      <c r="H176" s="36"/>
      <c r="I176" s="36"/>
      <c r="J176" s="36"/>
      <c r="K176" s="36"/>
      <c r="L176" s="36"/>
      <c r="M176" s="35"/>
      <c r="N176" s="32"/>
    </row>
    <row r="177" spans="1:64" x14ac:dyDescent="0.2">
      <c r="A177" s="79" t="s">
        <v>191</v>
      </c>
      <c r="B177" s="79" t="s">
        <v>403</v>
      </c>
      <c r="C177" s="194" t="s">
        <v>637</v>
      </c>
      <c r="D177" s="195"/>
      <c r="E177" s="195"/>
      <c r="F177" s="79" t="s">
        <v>1050</v>
      </c>
      <c r="G177" s="80">
        <v>108.04</v>
      </c>
      <c r="H177" s="80">
        <v>0</v>
      </c>
      <c r="I177" s="80">
        <f>G177*AO177</f>
        <v>0</v>
      </c>
      <c r="J177" s="80">
        <f>G177*AP177</f>
        <v>0</v>
      </c>
      <c r="K177" s="80">
        <f>G177*H177</f>
        <v>0</v>
      </c>
      <c r="L177" s="80">
        <f>G177*177</f>
        <v>19123.080000000002</v>
      </c>
      <c r="M177" s="94" t="s">
        <v>1066</v>
      </c>
      <c r="N177" s="32"/>
      <c r="Z177" s="11">
        <f>IF(AQ177="5",BJ177,0)</f>
        <v>0</v>
      </c>
      <c r="AB177" s="11">
        <f>IF(AQ177="1",BH177,0)</f>
        <v>0</v>
      </c>
      <c r="AC177" s="11">
        <f>IF(AQ177="1",BI177,0)</f>
        <v>0</v>
      </c>
      <c r="AD177" s="11">
        <f>IF(AQ177="7",BH177,0)</f>
        <v>0</v>
      </c>
      <c r="AE177" s="11">
        <f>IF(AQ177="7",BI177,0)</f>
        <v>0</v>
      </c>
      <c r="AF177" s="11">
        <f>IF(AQ177="2",BH177,0)</f>
        <v>0</v>
      </c>
      <c r="AG177" s="11">
        <f>IF(AQ177="2",BI177,0)</f>
        <v>0</v>
      </c>
      <c r="AH177" s="11">
        <f>IF(AQ177="0",BJ177,0)</f>
        <v>0</v>
      </c>
      <c r="AI177" s="26" t="s">
        <v>76</v>
      </c>
      <c r="AJ177" s="20">
        <f>IF(AN177=0,K177,0)</f>
        <v>0</v>
      </c>
      <c r="AK177" s="20">
        <f>IF(AN177=15,K177,0)</f>
        <v>0</v>
      </c>
      <c r="AL177" s="20">
        <f>IF(AN177=21,K177,0)</f>
        <v>0</v>
      </c>
      <c r="AN177" s="11">
        <v>21</v>
      </c>
      <c r="AO177" s="11">
        <f>H177*0</f>
        <v>0</v>
      </c>
      <c r="AP177" s="11">
        <f>H177*(1-0)</f>
        <v>0</v>
      </c>
      <c r="AQ177" s="27" t="s">
        <v>144</v>
      </c>
      <c r="AV177" s="11">
        <f>AW177+AX177</f>
        <v>0</v>
      </c>
      <c r="AW177" s="11">
        <f>G177*AO177</f>
        <v>0</v>
      </c>
      <c r="AX177" s="11">
        <f>G177*AP177</f>
        <v>0</v>
      </c>
      <c r="AY177" s="29" t="s">
        <v>1085</v>
      </c>
      <c r="AZ177" s="29" t="s">
        <v>1107</v>
      </c>
      <c r="BA177" s="26" t="s">
        <v>1128</v>
      </c>
      <c r="BB177" s="26" t="s">
        <v>1142</v>
      </c>
      <c r="BC177" s="11">
        <f>AW177+AX177</f>
        <v>0</v>
      </c>
      <c r="BD177" s="11">
        <f>H177/(100-BE177)*100</f>
        <v>0</v>
      </c>
      <c r="BE177" s="11">
        <v>0</v>
      </c>
      <c r="BF177" s="11">
        <f>L177</f>
        <v>19123.080000000002</v>
      </c>
      <c r="BH177" s="20">
        <f>G177*AO177</f>
        <v>0</v>
      </c>
      <c r="BI177" s="20">
        <f>G177*AP177</f>
        <v>0</v>
      </c>
      <c r="BJ177" s="20">
        <f>G177*H177</f>
        <v>0</v>
      </c>
      <c r="BK177" s="20" t="s">
        <v>1164</v>
      </c>
      <c r="BL177" s="11">
        <v>776</v>
      </c>
    </row>
    <row r="178" spans="1:64" x14ac:dyDescent="0.2">
      <c r="A178" s="35"/>
      <c r="B178" s="36"/>
      <c r="C178" s="81" t="s">
        <v>627</v>
      </c>
      <c r="D178" s="36"/>
      <c r="E178" s="82"/>
      <c r="F178" s="36"/>
      <c r="G178" s="83">
        <v>96.28</v>
      </c>
      <c r="H178" s="36"/>
      <c r="I178" s="36"/>
      <c r="J178" s="36"/>
      <c r="K178" s="36"/>
      <c r="L178" s="36"/>
      <c r="M178" s="35"/>
      <c r="N178" s="32"/>
    </row>
    <row r="179" spans="1:64" x14ac:dyDescent="0.2">
      <c r="A179" s="35"/>
      <c r="B179" s="36"/>
      <c r="C179" s="81" t="s">
        <v>638</v>
      </c>
      <c r="D179" s="36"/>
      <c r="E179" s="82" t="s">
        <v>950</v>
      </c>
      <c r="F179" s="36"/>
      <c r="G179" s="83">
        <v>11.76</v>
      </c>
      <c r="H179" s="36"/>
      <c r="I179" s="36"/>
      <c r="J179" s="36"/>
      <c r="K179" s="36"/>
      <c r="L179" s="36"/>
      <c r="M179" s="35"/>
      <c r="N179" s="32"/>
    </row>
    <row r="180" spans="1:64" x14ac:dyDescent="0.2">
      <c r="A180" s="84" t="s">
        <v>192</v>
      </c>
      <c r="B180" s="84" t="s">
        <v>386</v>
      </c>
      <c r="C180" s="198" t="s">
        <v>639</v>
      </c>
      <c r="D180" s="199"/>
      <c r="E180" s="199"/>
      <c r="F180" s="84" t="s">
        <v>1054</v>
      </c>
      <c r="G180" s="85">
        <v>945.89020000000005</v>
      </c>
      <c r="H180" s="85">
        <v>0</v>
      </c>
      <c r="I180" s="85">
        <f>G180*AO180</f>
        <v>0</v>
      </c>
      <c r="J180" s="85">
        <f>G180*AP180</f>
        <v>0</v>
      </c>
      <c r="K180" s="85">
        <f>G180*H180</f>
        <v>0</v>
      </c>
      <c r="L180" s="85">
        <f>G180*180</f>
        <v>170260.236</v>
      </c>
      <c r="M180" s="95" t="s">
        <v>1067</v>
      </c>
      <c r="N180" s="32"/>
      <c r="Z180" s="11">
        <f>IF(AQ180="5",BJ180,0)</f>
        <v>0</v>
      </c>
      <c r="AB180" s="11">
        <f>IF(AQ180="1",BH180,0)</f>
        <v>0</v>
      </c>
      <c r="AC180" s="11">
        <f>IF(AQ180="1",BI180,0)</f>
        <v>0</v>
      </c>
      <c r="AD180" s="11">
        <f>IF(AQ180="7",BH180,0)</f>
        <v>0</v>
      </c>
      <c r="AE180" s="11">
        <f>IF(AQ180="7",BI180,0)</f>
        <v>0</v>
      </c>
      <c r="AF180" s="11">
        <f>IF(AQ180="2",BH180,0)</f>
        <v>0</v>
      </c>
      <c r="AG180" s="11">
        <f>IF(AQ180="2",BI180,0)</f>
        <v>0</v>
      </c>
      <c r="AH180" s="11">
        <f>IF(AQ180="0",BJ180,0)</f>
        <v>0</v>
      </c>
      <c r="AI180" s="26" t="s">
        <v>76</v>
      </c>
      <c r="AJ180" s="21">
        <f>IF(AN180=0,K180,0)</f>
        <v>0</v>
      </c>
      <c r="AK180" s="21">
        <f>IF(AN180=15,K180,0)</f>
        <v>0</v>
      </c>
      <c r="AL180" s="21">
        <f>IF(AN180=21,K180,0)</f>
        <v>0</v>
      </c>
      <c r="AN180" s="11">
        <v>21</v>
      </c>
      <c r="AO180" s="11">
        <f>H180*1</f>
        <v>0</v>
      </c>
      <c r="AP180" s="11">
        <f>H180*(1-1)</f>
        <v>0</v>
      </c>
      <c r="AQ180" s="28" t="s">
        <v>144</v>
      </c>
      <c r="AV180" s="11">
        <f>AW180+AX180</f>
        <v>0</v>
      </c>
      <c r="AW180" s="11">
        <f>G180*AO180</f>
        <v>0</v>
      </c>
      <c r="AX180" s="11">
        <f>G180*AP180</f>
        <v>0</v>
      </c>
      <c r="AY180" s="29" t="s">
        <v>1085</v>
      </c>
      <c r="AZ180" s="29" t="s">
        <v>1107</v>
      </c>
      <c r="BA180" s="26" t="s">
        <v>1128</v>
      </c>
      <c r="BC180" s="11">
        <f>AW180+AX180</f>
        <v>0</v>
      </c>
      <c r="BD180" s="11">
        <f>H180/(100-BE180)*100</f>
        <v>0</v>
      </c>
      <c r="BE180" s="11">
        <v>0</v>
      </c>
      <c r="BF180" s="11">
        <f>L180</f>
        <v>170260.236</v>
      </c>
      <c r="BH180" s="21">
        <f>G180*AO180</f>
        <v>0</v>
      </c>
      <c r="BI180" s="21">
        <f>G180*AP180</f>
        <v>0</v>
      </c>
      <c r="BJ180" s="21">
        <f>G180*H180</f>
        <v>0</v>
      </c>
      <c r="BK180" s="21" t="s">
        <v>1165</v>
      </c>
      <c r="BL180" s="11">
        <v>776</v>
      </c>
    </row>
    <row r="181" spans="1:64" x14ac:dyDescent="0.2">
      <c r="A181" s="35"/>
      <c r="B181" s="36"/>
      <c r="C181" s="81" t="s">
        <v>640</v>
      </c>
      <c r="D181" s="36"/>
      <c r="E181" s="82" t="s">
        <v>945</v>
      </c>
      <c r="F181" s="36"/>
      <c r="G181" s="83">
        <v>918.34</v>
      </c>
      <c r="H181" s="36"/>
      <c r="I181" s="36"/>
      <c r="J181" s="36"/>
      <c r="K181" s="36"/>
      <c r="L181" s="36"/>
      <c r="M181" s="35"/>
      <c r="N181" s="32"/>
    </row>
    <row r="182" spans="1:64" x14ac:dyDescent="0.2">
      <c r="A182" s="35"/>
      <c r="B182" s="36"/>
      <c r="C182" s="81" t="s">
        <v>641</v>
      </c>
      <c r="D182" s="36"/>
      <c r="E182" s="82"/>
      <c r="F182" s="36"/>
      <c r="G182" s="83">
        <v>27.5502</v>
      </c>
      <c r="H182" s="36"/>
      <c r="I182" s="36"/>
      <c r="J182" s="36"/>
      <c r="K182" s="36"/>
      <c r="L182" s="36"/>
      <c r="M182" s="35"/>
      <c r="N182" s="32"/>
    </row>
    <row r="183" spans="1:64" x14ac:dyDescent="0.2">
      <c r="A183" s="77"/>
      <c r="B183" s="76" t="s">
        <v>93</v>
      </c>
      <c r="C183" s="204" t="s">
        <v>119</v>
      </c>
      <c r="D183" s="205"/>
      <c r="E183" s="205"/>
      <c r="F183" s="77" t="s">
        <v>60</v>
      </c>
      <c r="G183" s="77" t="s">
        <v>60</v>
      </c>
      <c r="H183" s="77" t="s">
        <v>60</v>
      </c>
      <c r="I183" s="78">
        <f>SUM(I184:I186)</f>
        <v>0</v>
      </c>
      <c r="J183" s="78">
        <f>SUM(J184:J186)</f>
        <v>0</v>
      </c>
      <c r="K183" s="78">
        <f>SUM(K184:K186)</f>
        <v>0</v>
      </c>
      <c r="L183" s="78">
        <f>SUM(L184:L186)</f>
        <v>4514</v>
      </c>
      <c r="M183" s="93"/>
      <c r="N183" s="32"/>
      <c r="AI183" s="26" t="s">
        <v>76</v>
      </c>
      <c r="AS183" s="31">
        <f>SUM(AJ184:AJ186)</f>
        <v>0</v>
      </c>
      <c r="AT183" s="31">
        <f>SUM(AK184:AK186)</f>
        <v>0</v>
      </c>
      <c r="AU183" s="31">
        <f>SUM(AL184:AL186)</f>
        <v>0</v>
      </c>
    </row>
    <row r="184" spans="1:64" x14ac:dyDescent="0.2">
      <c r="A184" s="79" t="s">
        <v>193</v>
      </c>
      <c r="B184" s="79" t="s">
        <v>404</v>
      </c>
      <c r="C184" s="194" t="s">
        <v>642</v>
      </c>
      <c r="D184" s="195"/>
      <c r="E184" s="195"/>
      <c r="F184" s="79" t="s">
        <v>1050</v>
      </c>
      <c r="G184" s="80">
        <v>12.2</v>
      </c>
      <c r="H184" s="80">
        <v>0</v>
      </c>
      <c r="I184" s="80">
        <f>G184*AO184</f>
        <v>0</v>
      </c>
      <c r="J184" s="80">
        <f>G184*AP184</f>
        <v>0</v>
      </c>
      <c r="K184" s="80">
        <f>G184*H184</f>
        <v>0</v>
      </c>
      <c r="L184" s="80">
        <f>G184*184</f>
        <v>2244.7999999999997</v>
      </c>
      <c r="M184" s="94" t="s">
        <v>1066</v>
      </c>
      <c r="N184" s="32"/>
      <c r="Z184" s="11">
        <f>IF(AQ184="5",BJ184,0)</f>
        <v>0</v>
      </c>
      <c r="AB184" s="11">
        <f>IF(AQ184="1",BH184,0)</f>
        <v>0</v>
      </c>
      <c r="AC184" s="11">
        <f>IF(AQ184="1",BI184,0)</f>
        <v>0</v>
      </c>
      <c r="AD184" s="11">
        <f>IF(AQ184="7",BH184,0)</f>
        <v>0</v>
      </c>
      <c r="AE184" s="11">
        <f>IF(AQ184="7",BI184,0)</f>
        <v>0</v>
      </c>
      <c r="AF184" s="11">
        <f>IF(AQ184="2",BH184,0)</f>
        <v>0</v>
      </c>
      <c r="AG184" s="11">
        <f>IF(AQ184="2",BI184,0)</f>
        <v>0</v>
      </c>
      <c r="AH184" s="11">
        <f>IF(AQ184="0",BJ184,0)</f>
        <v>0</v>
      </c>
      <c r="AI184" s="26" t="s">
        <v>76</v>
      </c>
      <c r="AJ184" s="20">
        <f>IF(AN184=0,K184,0)</f>
        <v>0</v>
      </c>
      <c r="AK184" s="20">
        <f>IF(AN184=15,K184,0)</f>
        <v>0</v>
      </c>
      <c r="AL184" s="20">
        <f>IF(AN184=21,K184,0)</f>
        <v>0</v>
      </c>
      <c r="AN184" s="11">
        <v>21</v>
      </c>
      <c r="AO184" s="11">
        <f>H184*0.0894736842105263</f>
        <v>0</v>
      </c>
      <c r="AP184" s="11">
        <f>H184*(1-0.0894736842105263)</f>
        <v>0</v>
      </c>
      <c r="AQ184" s="27" t="s">
        <v>144</v>
      </c>
      <c r="AV184" s="11">
        <f>AW184+AX184</f>
        <v>0</v>
      </c>
      <c r="AW184" s="11">
        <f>G184*AO184</f>
        <v>0</v>
      </c>
      <c r="AX184" s="11">
        <f>G184*AP184</f>
        <v>0</v>
      </c>
      <c r="AY184" s="29" t="s">
        <v>1086</v>
      </c>
      <c r="AZ184" s="29" t="s">
        <v>1108</v>
      </c>
      <c r="BA184" s="26" t="s">
        <v>1128</v>
      </c>
      <c r="BB184" s="26" t="s">
        <v>1143</v>
      </c>
      <c r="BC184" s="11">
        <f>AW184+AX184</f>
        <v>0</v>
      </c>
      <c r="BD184" s="11">
        <f>H184/(100-BE184)*100</f>
        <v>0</v>
      </c>
      <c r="BE184" s="11">
        <v>0</v>
      </c>
      <c r="BF184" s="11">
        <f>L184</f>
        <v>2244.7999999999997</v>
      </c>
      <c r="BH184" s="20">
        <f>G184*AO184</f>
        <v>0</v>
      </c>
      <c r="BI184" s="20">
        <f>G184*AP184</f>
        <v>0</v>
      </c>
      <c r="BJ184" s="20">
        <f>G184*H184</f>
        <v>0</v>
      </c>
      <c r="BK184" s="20" t="s">
        <v>1164</v>
      </c>
      <c r="BL184" s="11">
        <v>783</v>
      </c>
    </row>
    <row r="185" spans="1:64" x14ac:dyDescent="0.2">
      <c r="A185" s="35"/>
      <c r="B185" s="36"/>
      <c r="C185" s="81" t="s">
        <v>643</v>
      </c>
      <c r="D185" s="36"/>
      <c r="E185" s="82" t="s">
        <v>951</v>
      </c>
      <c r="F185" s="36"/>
      <c r="G185" s="83">
        <v>12.2</v>
      </c>
      <c r="H185" s="36"/>
      <c r="I185" s="36"/>
      <c r="J185" s="36"/>
      <c r="K185" s="36"/>
      <c r="L185" s="36"/>
      <c r="M185" s="35"/>
      <c r="N185" s="32"/>
    </row>
    <row r="186" spans="1:64" x14ac:dyDescent="0.2">
      <c r="A186" s="79" t="s">
        <v>194</v>
      </c>
      <c r="B186" s="79" t="s">
        <v>405</v>
      </c>
      <c r="C186" s="194" t="s">
        <v>644</v>
      </c>
      <c r="D186" s="195"/>
      <c r="E186" s="195"/>
      <c r="F186" s="79" t="s">
        <v>1050</v>
      </c>
      <c r="G186" s="80">
        <v>12.2</v>
      </c>
      <c r="H186" s="80">
        <v>0</v>
      </c>
      <c r="I186" s="80">
        <f>G186*AO186</f>
        <v>0</v>
      </c>
      <c r="J186" s="80">
        <f>G186*AP186</f>
        <v>0</v>
      </c>
      <c r="K186" s="80">
        <f>G186*H186</f>
        <v>0</v>
      </c>
      <c r="L186" s="80">
        <f>G186*186</f>
        <v>2269.1999999999998</v>
      </c>
      <c r="M186" s="94" t="s">
        <v>1066</v>
      </c>
      <c r="N186" s="32"/>
      <c r="Z186" s="11">
        <f>IF(AQ186="5",BJ186,0)</f>
        <v>0</v>
      </c>
      <c r="AB186" s="11">
        <f>IF(AQ186="1",BH186,0)</f>
        <v>0</v>
      </c>
      <c r="AC186" s="11">
        <f>IF(AQ186="1",BI186,0)</f>
        <v>0</v>
      </c>
      <c r="AD186" s="11">
        <f>IF(AQ186="7",BH186,0)</f>
        <v>0</v>
      </c>
      <c r="AE186" s="11">
        <f>IF(AQ186="7",BI186,0)</f>
        <v>0</v>
      </c>
      <c r="AF186" s="11">
        <f>IF(AQ186="2",BH186,0)</f>
        <v>0</v>
      </c>
      <c r="AG186" s="11">
        <f>IF(AQ186="2",BI186,0)</f>
        <v>0</v>
      </c>
      <c r="AH186" s="11">
        <f>IF(AQ186="0",BJ186,0)</f>
        <v>0</v>
      </c>
      <c r="AI186" s="26" t="s">
        <v>76</v>
      </c>
      <c r="AJ186" s="20">
        <f>IF(AN186=0,K186,0)</f>
        <v>0</v>
      </c>
      <c r="AK186" s="20">
        <f>IF(AN186=15,K186,0)</f>
        <v>0</v>
      </c>
      <c r="AL186" s="20">
        <f>IF(AN186=21,K186,0)</f>
        <v>0</v>
      </c>
      <c r="AN186" s="11">
        <v>21</v>
      </c>
      <c r="AO186" s="11">
        <f>H186*0.443663133334674</f>
        <v>0</v>
      </c>
      <c r="AP186" s="11">
        <f>H186*(1-0.443663133334674)</f>
        <v>0</v>
      </c>
      <c r="AQ186" s="27" t="s">
        <v>144</v>
      </c>
      <c r="AV186" s="11">
        <f>AW186+AX186</f>
        <v>0</v>
      </c>
      <c r="AW186" s="11">
        <f>G186*AO186</f>
        <v>0</v>
      </c>
      <c r="AX186" s="11">
        <f>G186*AP186</f>
        <v>0</v>
      </c>
      <c r="AY186" s="29" t="s">
        <v>1086</v>
      </c>
      <c r="AZ186" s="29" t="s">
        <v>1108</v>
      </c>
      <c r="BA186" s="26" t="s">
        <v>1128</v>
      </c>
      <c r="BB186" s="26" t="s">
        <v>1143</v>
      </c>
      <c r="BC186" s="11">
        <f>AW186+AX186</f>
        <v>0</v>
      </c>
      <c r="BD186" s="11">
        <f>H186/(100-BE186)*100</f>
        <v>0</v>
      </c>
      <c r="BE186" s="11">
        <v>0</v>
      </c>
      <c r="BF186" s="11">
        <f>L186</f>
        <v>2269.1999999999998</v>
      </c>
      <c r="BH186" s="20">
        <f>G186*AO186</f>
        <v>0</v>
      </c>
      <c r="BI186" s="20">
        <f>G186*AP186</f>
        <v>0</v>
      </c>
      <c r="BJ186" s="20">
        <f>G186*H186</f>
        <v>0</v>
      </c>
      <c r="BK186" s="20" t="s">
        <v>1164</v>
      </c>
      <c r="BL186" s="11">
        <v>783</v>
      </c>
    </row>
    <row r="187" spans="1:64" x14ac:dyDescent="0.2">
      <c r="A187" s="77"/>
      <c r="B187" s="76" t="s">
        <v>94</v>
      </c>
      <c r="C187" s="204" t="s">
        <v>120</v>
      </c>
      <c r="D187" s="205"/>
      <c r="E187" s="205"/>
      <c r="F187" s="77" t="s">
        <v>60</v>
      </c>
      <c r="G187" s="77" t="s">
        <v>60</v>
      </c>
      <c r="H187" s="77" t="s">
        <v>60</v>
      </c>
      <c r="I187" s="78">
        <f>SUM(I188:I191)</f>
        <v>0</v>
      </c>
      <c r="J187" s="78">
        <f>SUM(J188:J191)</f>
        <v>0</v>
      </c>
      <c r="K187" s="78">
        <f>SUM(K188:K191)</f>
        <v>0</v>
      </c>
      <c r="L187" s="78">
        <f>SUM(L188:L191)</f>
        <v>111388.152</v>
      </c>
      <c r="M187" s="93"/>
      <c r="N187" s="32"/>
      <c r="AI187" s="26" t="s">
        <v>76</v>
      </c>
      <c r="AS187" s="31">
        <f>SUM(AJ188:AJ191)</f>
        <v>0</v>
      </c>
      <c r="AT187" s="31">
        <f>SUM(AK188:AK191)</f>
        <v>0</v>
      </c>
      <c r="AU187" s="31">
        <f>SUM(AL188:AL191)</f>
        <v>0</v>
      </c>
    </row>
    <row r="188" spans="1:64" x14ac:dyDescent="0.2">
      <c r="A188" s="79" t="s">
        <v>195</v>
      </c>
      <c r="B188" s="79" t="s">
        <v>406</v>
      </c>
      <c r="C188" s="194" t="s">
        <v>645</v>
      </c>
      <c r="D188" s="195"/>
      <c r="E188" s="195"/>
      <c r="F188" s="79" t="s">
        <v>1050</v>
      </c>
      <c r="G188" s="80">
        <v>78.180000000000007</v>
      </c>
      <c r="H188" s="80">
        <v>0</v>
      </c>
      <c r="I188" s="80">
        <f>G188*AO188</f>
        <v>0</v>
      </c>
      <c r="J188" s="80">
        <f>G188*AP188</f>
        <v>0</v>
      </c>
      <c r="K188" s="80">
        <f>G188*H188</f>
        <v>0</v>
      </c>
      <c r="L188" s="80">
        <f>G188*188</f>
        <v>14697.840000000002</v>
      </c>
      <c r="M188" s="94" t="s">
        <v>1067</v>
      </c>
      <c r="N188" s="32"/>
      <c r="Z188" s="11">
        <f>IF(AQ188="5",BJ188,0)</f>
        <v>0</v>
      </c>
      <c r="AB188" s="11">
        <f>IF(AQ188="1",BH188,0)</f>
        <v>0</v>
      </c>
      <c r="AC188" s="11">
        <f>IF(AQ188="1",BI188,0)</f>
        <v>0</v>
      </c>
      <c r="AD188" s="11">
        <f>IF(AQ188="7",BH188,0)</f>
        <v>0</v>
      </c>
      <c r="AE188" s="11">
        <f>IF(AQ188="7",BI188,0)</f>
        <v>0</v>
      </c>
      <c r="AF188" s="11">
        <f>IF(AQ188="2",BH188,0)</f>
        <v>0</v>
      </c>
      <c r="AG188" s="11">
        <f>IF(AQ188="2",BI188,0)</f>
        <v>0</v>
      </c>
      <c r="AH188" s="11">
        <f>IF(AQ188="0",BJ188,0)</f>
        <v>0</v>
      </c>
      <c r="AI188" s="26" t="s">
        <v>76</v>
      </c>
      <c r="AJ188" s="20">
        <f>IF(AN188=0,K188,0)</f>
        <v>0</v>
      </c>
      <c r="AK188" s="20">
        <f>IF(AN188=15,K188,0)</f>
        <v>0</v>
      </c>
      <c r="AL188" s="20">
        <f>IF(AN188=21,K188,0)</f>
        <v>0</v>
      </c>
      <c r="AN188" s="11">
        <v>21</v>
      </c>
      <c r="AO188" s="11">
        <f>H188*0.125180086500414</f>
        <v>0</v>
      </c>
      <c r="AP188" s="11">
        <f>H188*(1-0.125180086500414)</f>
        <v>0</v>
      </c>
      <c r="AQ188" s="27" t="s">
        <v>144</v>
      </c>
      <c r="AV188" s="11">
        <f>AW188+AX188</f>
        <v>0</v>
      </c>
      <c r="AW188" s="11">
        <f>G188*AO188</f>
        <v>0</v>
      </c>
      <c r="AX188" s="11">
        <f>G188*AP188</f>
        <v>0</v>
      </c>
      <c r="AY188" s="29" t="s">
        <v>1087</v>
      </c>
      <c r="AZ188" s="29" t="s">
        <v>1108</v>
      </c>
      <c r="BA188" s="26" t="s">
        <v>1128</v>
      </c>
      <c r="BB188" s="26" t="s">
        <v>1144</v>
      </c>
      <c r="BC188" s="11">
        <f>AW188+AX188</f>
        <v>0</v>
      </c>
      <c r="BD188" s="11">
        <f>H188/(100-BE188)*100</f>
        <v>0</v>
      </c>
      <c r="BE188" s="11">
        <v>0</v>
      </c>
      <c r="BF188" s="11">
        <f>L188</f>
        <v>14697.840000000002</v>
      </c>
      <c r="BH188" s="20">
        <f>G188*AO188</f>
        <v>0</v>
      </c>
      <c r="BI188" s="20">
        <f>G188*AP188</f>
        <v>0</v>
      </c>
      <c r="BJ188" s="20">
        <f>G188*H188</f>
        <v>0</v>
      </c>
      <c r="BK188" s="20" t="s">
        <v>1164</v>
      </c>
      <c r="BL188" s="11">
        <v>784</v>
      </c>
    </row>
    <row r="189" spans="1:64" x14ac:dyDescent="0.2">
      <c r="A189" s="35"/>
      <c r="B189" s="36"/>
      <c r="C189" s="81" t="s">
        <v>582</v>
      </c>
      <c r="D189" s="36"/>
      <c r="E189" s="82" t="s">
        <v>952</v>
      </c>
      <c r="F189" s="36"/>
      <c r="G189" s="83">
        <v>48.18</v>
      </c>
      <c r="H189" s="36"/>
      <c r="I189" s="36"/>
      <c r="J189" s="36"/>
      <c r="K189" s="36"/>
      <c r="L189" s="36"/>
      <c r="M189" s="35"/>
      <c r="N189" s="32"/>
    </row>
    <row r="190" spans="1:64" x14ac:dyDescent="0.2">
      <c r="A190" s="35"/>
      <c r="B190" s="36"/>
      <c r="C190" s="81" t="s">
        <v>167</v>
      </c>
      <c r="D190" s="36"/>
      <c r="E190" s="82" t="s">
        <v>953</v>
      </c>
      <c r="F190" s="36"/>
      <c r="G190" s="83">
        <v>30</v>
      </c>
      <c r="H190" s="36"/>
      <c r="I190" s="36"/>
      <c r="J190" s="36"/>
      <c r="K190" s="36"/>
      <c r="L190" s="36"/>
      <c r="M190" s="35"/>
      <c r="N190" s="32"/>
    </row>
    <row r="191" spans="1:64" x14ac:dyDescent="0.2">
      <c r="A191" s="79" t="s">
        <v>86</v>
      </c>
      <c r="B191" s="79" t="s">
        <v>407</v>
      </c>
      <c r="C191" s="194" t="s">
        <v>646</v>
      </c>
      <c r="D191" s="195"/>
      <c r="E191" s="195"/>
      <c r="F191" s="79" t="s">
        <v>1050</v>
      </c>
      <c r="G191" s="80">
        <v>506.23200000000003</v>
      </c>
      <c r="H191" s="80">
        <v>0</v>
      </c>
      <c r="I191" s="80">
        <f>G191*AO191</f>
        <v>0</v>
      </c>
      <c r="J191" s="80">
        <f>G191*AP191</f>
        <v>0</v>
      </c>
      <c r="K191" s="80">
        <f>G191*H191</f>
        <v>0</v>
      </c>
      <c r="L191" s="80">
        <f>G191*191</f>
        <v>96690.312000000005</v>
      </c>
      <c r="M191" s="94" t="s">
        <v>1066</v>
      </c>
      <c r="N191" s="32"/>
      <c r="Z191" s="11">
        <f>IF(AQ191="5",BJ191,0)</f>
        <v>0</v>
      </c>
      <c r="AB191" s="11">
        <f>IF(AQ191="1",BH191,0)</f>
        <v>0</v>
      </c>
      <c r="AC191" s="11">
        <f>IF(AQ191="1",BI191,0)</f>
        <v>0</v>
      </c>
      <c r="AD191" s="11">
        <f>IF(AQ191="7",BH191,0)</f>
        <v>0</v>
      </c>
      <c r="AE191" s="11">
        <f>IF(AQ191="7",BI191,0)</f>
        <v>0</v>
      </c>
      <c r="AF191" s="11">
        <f>IF(AQ191="2",BH191,0)</f>
        <v>0</v>
      </c>
      <c r="AG191" s="11">
        <f>IF(AQ191="2",BI191,0)</f>
        <v>0</v>
      </c>
      <c r="AH191" s="11">
        <f>IF(AQ191="0",BJ191,0)</f>
        <v>0</v>
      </c>
      <c r="AI191" s="26" t="s">
        <v>76</v>
      </c>
      <c r="AJ191" s="20">
        <f>IF(AN191=0,K191,0)</f>
        <v>0</v>
      </c>
      <c r="AK191" s="20">
        <f>IF(AN191=15,K191,0)</f>
        <v>0</v>
      </c>
      <c r="AL191" s="20">
        <f>IF(AN191=21,K191,0)</f>
        <v>0</v>
      </c>
      <c r="AN191" s="11">
        <v>21</v>
      </c>
      <c r="AO191" s="11">
        <f>H191*0.145612478521632</f>
        <v>0</v>
      </c>
      <c r="AP191" s="11">
        <f>H191*(1-0.145612478521632)</f>
        <v>0</v>
      </c>
      <c r="AQ191" s="27" t="s">
        <v>144</v>
      </c>
      <c r="AV191" s="11">
        <f>AW191+AX191</f>
        <v>0</v>
      </c>
      <c r="AW191" s="11">
        <f>G191*AO191</f>
        <v>0</v>
      </c>
      <c r="AX191" s="11">
        <f>G191*AP191</f>
        <v>0</v>
      </c>
      <c r="AY191" s="29" t="s">
        <v>1087</v>
      </c>
      <c r="AZ191" s="29" t="s">
        <v>1108</v>
      </c>
      <c r="BA191" s="26" t="s">
        <v>1128</v>
      </c>
      <c r="BB191" s="26" t="s">
        <v>1144</v>
      </c>
      <c r="BC191" s="11">
        <f>AW191+AX191</f>
        <v>0</v>
      </c>
      <c r="BD191" s="11">
        <f>H191/(100-BE191)*100</f>
        <v>0</v>
      </c>
      <c r="BE191" s="11">
        <v>0</v>
      </c>
      <c r="BF191" s="11">
        <f>L191</f>
        <v>96690.312000000005</v>
      </c>
      <c r="BH191" s="20">
        <f>G191*AO191</f>
        <v>0</v>
      </c>
      <c r="BI191" s="20">
        <f>G191*AP191</f>
        <v>0</v>
      </c>
      <c r="BJ191" s="20">
        <f>G191*H191</f>
        <v>0</v>
      </c>
      <c r="BK191" s="20" t="s">
        <v>1164</v>
      </c>
      <c r="BL191" s="11">
        <v>784</v>
      </c>
    </row>
    <row r="192" spans="1:64" ht="25.7" customHeight="1" x14ac:dyDescent="0.2">
      <c r="A192" s="35"/>
      <c r="B192" s="86" t="s">
        <v>354</v>
      </c>
      <c r="C192" s="196" t="s">
        <v>647</v>
      </c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32"/>
    </row>
    <row r="193" spans="1:64" x14ac:dyDescent="0.2">
      <c r="A193" s="35"/>
      <c r="B193" s="36"/>
      <c r="C193" s="81" t="s">
        <v>648</v>
      </c>
      <c r="D193" s="36"/>
      <c r="E193" s="82" t="s">
        <v>954</v>
      </c>
      <c r="F193" s="36"/>
      <c r="G193" s="83">
        <v>129.25</v>
      </c>
      <c r="H193" s="36"/>
      <c r="I193" s="36"/>
      <c r="J193" s="36"/>
      <c r="K193" s="36"/>
      <c r="L193" s="36"/>
      <c r="M193" s="35"/>
      <c r="N193" s="32"/>
    </row>
    <row r="194" spans="1:64" x14ac:dyDescent="0.2">
      <c r="A194" s="35"/>
      <c r="B194" s="36"/>
      <c r="C194" s="81" t="s">
        <v>649</v>
      </c>
      <c r="D194" s="36"/>
      <c r="E194" s="82" t="s">
        <v>955</v>
      </c>
      <c r="F194" s="36"/>
      <c r="G194" s="83">
        <v>49.6</v>
      </c>
      <c r="H194" s="36"/>
      <c r="I194" s="36"/>
      <c r="J194" s="36"/>
      <c r="K194" s="36"/>
      <c r="L194" s="36"/>
      <c r="M194" s="35"/>
      <c r="N194" s="32"/>
    </row>
    <row r="195" spans="1:64" x14ac:dyDescent="0.2">
      <c r="A195" s="35"/>
      <c r="B195" s="36"/>
      <c r="C195" s="81" t="s">
        <v>650</v>
      </c>
      <c r="D195" s="36"/>
      <c r="E195" s="82" t="s">
        <v>956</v>
      </c>
      <c r="F195" s="36"/>
      <c r="G195" s="83">
        <v>77.28</v>
      </c>
      <c r="H195" s="36"/>
      <c r="I195" s="36"/>
      <c r="J195" s="36"/>
      <c r="K195" s="36"/>
      <c r="L195" s="36"/>
      <c r="M195" s="35"/>
      <c r="N195" s="32"/>
    </row>
    <row r="196" spans="1:64" x14ac:dyDescent="0.2">
      <c r="A196" s="35"/>
      <c r="B196" s="36"/>
      <c r="C196" s="81" t="s">
        <v>651</v>
      </c>
      <c r="D196" s="36"/>
      <c r="E196" s="82" t="s">
        <v>957</v>
      </c>
      <c r="F196" s="36"/>
      <c r="G196" s="83">
        <v>50.735999999999997</v>
      </c>
      <c r="H196" s="36"/>
      <c r="I196" s="36"/>
      <c r="J196" s="36"/>
      <c r="K196" s="36"/>
      <c r="L196" s="36"/>
      <c r="M196" s="35"/>
      <c r="N196" s="32"/>
    </row>
    <row r="197" spans="1:64" x14ac:dyDescent="0.2">
      <c r="A197" s="35"/>
      <c r="B197" s="36"/>
      <c r="C197" s="81" t="s">
        <v>652</v>
      </c>
      <c r="D197" s="36"/>
      <c r="E197" s="82" t="s">
        <v>958</v>
      </c>
      <c r="F197" s="36"/>
      <c r="G197" s="83">
        <v>41.85</v>
      </c>
      <c r="H197" s="36"/>
      <c r="I197" s="36"/>
      <c r="J197" s="36"/>
      <c r="K197" s="36"/>
      <c r="L197" s="36"/>
      <c r="M197" s="35"/>
      <c r="N197" s="32"/>
    </row>
    <row r="198" spans="1:64" x14ac:dyDescent="0.2">
      <c r="A198" s="35"/>
      <c r="B198" s="36"/>
      <c r="C198" s="81" t="s">
        <v>653</v>
      </c>
      <c r="D198" s="36"/>
      <c r="E198" s="82" t="s">
        <v>959</v>
      </c>
      <c r="F198" s="36"/>
      <c r="G198" s="83">
        <v>25.42</v>
      </c>
      <c r="H198" s="36"/>
      <c r="I198" s="36"/>
      <c r="J198" s="36"/>
      <c r="K198" s="36"/>
      <c r="L198" s="36"/>
      <c r="M198" s="35"/>
      <c r="N198" s="32"/>
    </row>
    <row r="199" spans="1:64" x14ac:dyDescent="0.2">
      <c r="A199" s="35"/>
      <c r="B199" s="36"/>
      <c r="C199" s="81" t="s">
        <v>654</v>
      </c>
      <c r="D199" s="36"/>
      <c r="E199" s="82" t="s">
        <v>960</v>
      </c>
      <c r="F199" s="36"/>
      <c r="G199" s="83">
        <v>6.16</v>
      </c>
      <c r="H199" s="36"/>
      <c r="I199" s="36"/>
      <c r="J199" s="36"/>
      <c r="K199" s="36"/>
      <c r="L199" s="36"/>
      <c r="M199" s="35"/>
      <c r="N199" s="32"/>
    </row>
    <row r="200" spans="1:64" x14ac:dyDescent="0.2">
      <c r="A200" s="35"/>
      <c r="B200" s="36"/>
      <c r="C200" s="81" t="s">
        <v>655</v>
      </c>
      <c r="D200" s="36"/>
      <c r="E200" s="82" t="s">
        <v>961</v>
      </c>
      <c r="F200" s="36"/>
      <c r="G200" s="83">
        <v>4.4000000000000004</v>
      </c>
      <c r="H200" s="36"/>
      <c r="I200" s="36"/>
      <c r="J200" s="36"/>
      <c r="K200" s="36"/>
      <c r="L200" s="36"/>
      <c r="M200" s="35"/>
      <c r="N200" s="32"/>
    </row>
    <row r="201" spans="1:64" x14ac:dyDescent="0.2">
      <c r="A201" s="35"/>
      <c r="B201" s="36"/>
      <c r="C201" s="81" t="s">
        <v>656</v>
      </c>
      <c r="D201" s="36"/>
      <c r="E201" s="82" t="s">
        <v>962</v>
      </c>
      <c r="F201" s="36"/>
      <c r="G201" s="83">
        <v>18.847999999999999</v>
      </c>
      <c r="H201" s="36"/>
      <c r="I201" s="36"/>
      <c r="J201" s="36"/>
      <c r="K201" s="36"/>
      <c r="L201" s="36"/>
      <c r="M201" s="35"/>
      <c r="N201" s="32"/>
    </row>
    <row r="202" spans="1:64" x14ac:dyDescent="0.2">
      <c r="A202" s="35"/>
      <c r="B202" s="36"/>
      <c r="C202" s="81" t="s">
        <v>657</v>
      </c>
      <c r="D202" s="36"/>
      <c r="E202" s="82" t="s">
        <v>963</v>
      </c>
      <c r="F202" s="36"/>
      <c r="G202" s="83">
        <v>7.3479999999999999</v>
      </c>
      <c r="H202" s="36"/>
      <c r="I202" s="36"/>
      <c r="J202" s="36"/>
      <c r="K202" s="36"/>
      <c r="L202" s="36"/>
      <c r="M202" s="35"/>
      <c r="N202" s="32"/>
    </row>
    <row r="203" spans="1:64" x14ac:dyDescent="0.2">
      <c r="A203" s="35"/>
      <c r="B203" s="36"/>
      <c r="C203" s="81" t="s">
        <v>658</v>
      </c>
      <c r="D203" s="36"/>
      <c r="E203" s="82" t="s">
        <v>964</v>
      </c>
      <c r="F203" s="36"/>
      <c r="G203" s="83">
        <v>95.34</v>
      </c>
      <c r="H203" s="36"/>
      <c r="I203" s="36"/>
      <c r="J203" s="36"/>
      <c r="K203" s="36"/>
      <c r="L203" s="36"/>
      <c r="M203" s="35"/>
      <c r="N203" s="32"/>
    </row>
    <row r="204" spans="1:64" x14ac:dyDescent="0.2">
      <c r="A204" s="77"/>
      <c r="B204" s="76" t="s">
        <v>95</v>
      </c>
      <c r="C204" s="204" t="s">
        <v>121</v>
      </c>
      <c r="D204" s="205"/>
      <c r="E204" s="205"/>
      <c r="F204" s="77" t="s">
        <v>60</v>
      </c>
      <c r="G204" s="77" t="s">
        <v>60</v>
      </c>
      <c r="H204" s="77" t="s">
        <v>60</v>
      </c>
      <c r="I204" s="78">
        <f>SUM(I205:I205)</f>
        <v>0</v>
      </c>
      <c r="J204" s="78">
        <f>SUM(J205:J205)</f>
        <v>0</v>
      </c>
      <c r="K204" s="78">
        <f>SUM(K205:K205)</f>
        <v>0</v>
      </c>
      <c r="L204" s="78">
        <f>SUM(L205:L205)</f>
        <v>26496.25</v>
      </c>
      <c r="M204" s="93"/>
      <c r="N204" s="32"/>
      <c r="AI204" s="26" t="s">
        <v>76</v>
      </c>
      <c r="AS204" s="31">
        <f>SUM(AJ205:AJ205)</f>
        <v>0</v>
      </c>
      <c r="AT204" s="31">
        <f>SUM(AK205:AK205)</f>
        <v>0</v>
      </c>
      <c r="AU204" s="31">
        <f>SUM(AL205:AL205)</f>
        <v>0</v>
      </c>
    </row>
    <row r="205" spans="1:64" x14ac:dyDescent="0.2">
      <c r="A205" s="79" t="s">
        <v>196</v>
      </c>
      <c r="B205" s="79" t="s">
        <v>408</v>
      </c>
      <c r="C205" s="194" t="s">
        <v>659</v>
      </c>
      <c r="D205" s="195"/>
      <c r="E205" s="195"/>
      <c r="F205" s="79" t="s">
        <v>1050</v>
      </c>
      <c r="G205" s="80">
        <v>129.25</v>
      </c>
      <c r="H205" s="80">
        <v>0</v>
      </c>
      <c r="I205" s="80">
        <f>G205*AO205</f>
        <v>0</v>
      </c>
      <c r="J205" s="80">
        <f>G205*AP205</f>
        <v>0</v>
      </c>
      <c r="K205" s="80">
        <f>G205*H205</f>
        <v>0</v>
      </c>
      <c r="L205" s="80">
        <f>G205*205</f>
        <v>26496.25</v>
      </c>
      <c r="M205" s="94" t="s">
        <v>1066</v>
      </c>
      <c r="N205" s="32"/>
      <c r="Z205" s="11">
        <f>IF(AQ205="5",BJ205,0)</f>
        <v>0</v>
      </c>
      <c r="AB205" s="11">
        <f>IF(AQ205="1",BH205,0)</f>
        <v>0</v>
      </c>
      <c r="AC205" s="11">
        <f>IF(AQ205="1",BI205,0)</f>
        <v>0</v>
      </c>
      <c r="AD205" s="11">
        <f>IF(AQ205="7",BH205,0)</f>
        <v>0</v>
      </c>
      <c r="AE205" s="11">
        <f>IF(AQ205="7",BI205,0)</f>
        <v>0</v>
      </c>
      <c r="AF205" s="11">
        <f>IF(AQ205="2",BH205,0)</f>
        <v>0</v>
      </c>
      <c r="AG205" s="11">
        <f>IF(AQ205="2",BI205,0)</f>
        <v>0</v>
      </c>
      <c r="AH205" s="11">
        <f>IF(AQ205="0",BJ205,0)</f>
        <v>0</v>
      </c>
      <c r="AI205" s="26" t="s">
        <v>76</v>
      </c>
      <c r="AJ205" s="20">
        <f>IF(AN205=0,K205,0)</f>
        <v>0</v>
      </c>
      <c r="AK205" s="20">
        <f>IF(AN205=15,K205,0)</f>
        <v>0</v>
      </c>
      <c r="AL205" s="20">
        <f>IF(AN205=21,K205,0)</f>
        <v>0</v>
      </c>
      <c r="AN205" s="11">
        <v>21</v>
      </c>
      <c r="AO205" s="11">
        <f>H205*0.0124696317215854</f>
        <v>0</v>
      </c>
      <c r="AP205" s="11">
        <f>H205*(1-0.0124696317215854)</f>
        <v>0</v>
      </c>
      <c r="AQ205" s="27" t="s">
        <v>138</v>
      </c>
      <c r="AV205" s="11">
        <f>AW205+AX205</f>
        <v>0</v>
      </c>
      <c r="AW205" s="11">
        <f>G205*AO205</f>
        <v>0</v>
      </c>
      <c r="AX205" s="11">
        <f>G205*AP205</f>
        <v>0</v>
      </c>
      <c r="AY205" s="29" t="s">
        <v>1088</v>
      </c>
      <c r="AZ205" s="29" t="s">
        <v>1109</v>
      </c>
      <c r="BA205" s="26" t="s">
        <v>1128</v>
      </c>
      <c r="BB205" s="26" t="s">
        <v>1145</v>
      </c>
      <c r="BC205" s="11">
        <f>AW205+AX205</f>
        <v>0</v>
      </c>
      <c r="BD205" s="11">
        <f>H205/(100-BE205)*100</f>
        <v>0</v>
      </c>
      <c r="BE205" s="11">
        <v>0</v>
      </c>
      <c r="BF205" s="11">
        <f>L205</f>
        <v>26496.25</v>
      </c>
      <c r="BH205" s="20">
        <f>G205*AO205</f>
        <v>0</v>
      </c>
      <c r="BI205" s="20">
        <f>G205*AP205</f>
        <v>0</v>
      </c>
      <c r="BJ205" s="20">
        <f>G205*H205</f>
        <v>0</v>
      </c>
      <c r="BK205" s="20" t="s">
        <v>1164</v>
      </c>
      <c r="BL205" s="11">
        <v>95</v>
      </c>
    </row>
    <row r="206" spans="1:64" x14ac:dyDescent="0.2">
      <c r="A206" s="35"/>
      <c r="B206" s="86" t="s">
        <v>354</v>
      </c>
      <c r="C206" s="196" t="s">
        <v>660</v>
      </c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32"/>
    </row>
    <row r="207" spans="1:64" x14ac:dyDescent="0.2">
      <c r="A207" s="35"/>
      <c r="B207" s="36"/>
      <c r="C207" s="81" t="s">
        <v>555</v>
      </c>
      <c r="D207" s="36"/>
      <c r="E207" s="82" t="s">
        <v>926</v>
      </c>
      <c r="F207" s="36"/>
      <c r="G207" s="83">
        <v>129.25</v>
      </c>
      <c r="H207" s="36"/>
      <c r="I207" s="36"/>
      <c r="J207" s="36"/>
      <c r="K207" s="36"/>
      <c r="L207" s="36"/>
      <c r="M207" s="35"/>
      <c r="N207" s="32"/>
    </row>
    <row r="208" spans="1:64" x14ac:dyDescent="0.2">
      <c r="A208" s="77"/>
      <c r="B208" s="76" t="s">
        <v>96</v>
      </c>
      <c r="C208" s="204" t="s">
        <v>122</v>
      </c>
      <c r="D208" s="205"/>
      <c r="E208" s="205"/>
      <c r="F208" s="77" t="s">
        <v>60</v>
      </c>
      <c r="G208" s="77" t="s">
        <v>60</v>
      </c>
      <c r="H208" s="77" t="s">
        <v>60</v>
      </c>
      <c r="I208" s="78">
        <f>SUM(I209:I232)</f>
        <v>0</v>
      </c>
      <c r="J208" s="78">
        <f>SUM(J209:J232)</f>
        <v>0</v>
      </c>
      <c r="K208" s="78">
        <f>SUM(K209:K232)</f>
        <v>0</v>
      </c>
      <c r="L208" s="78">
        <f>SUM(L209:L232)</f>
        <v>17202.0442</v>
      </c>
      <c r="M208" s="93"/>
      <c r="N208" s="32"/>
      <c r="AI208" s="26" t="s">
        <v>76</v>
      </c>
      <c r="AS208" s="31">
        <f>SUM(AJ209:AJ232)</f>
        <v>0</v>
      </c>
      <c r="AT208" s="31">
        <f>SUM(AK209:AK232)</f>
        <v>0</v>
      </c>
      <c r="AU208" s="31">
        <f>SUM(AL209:AL232)</f>
        <v>0</v>
      </c>
    </row>
    <row r="209" spans="1:64" x14ac:dyDescent="0.2">
      <c r="A209" s="79" t="s">
        <v>87</v>
      </c>
      <c r="B209" s="79" t="s">
        <v>409</v>
      </c>
      <c r="C209" s="194" t="s">
        <v>661</v>
      </c>
      <c r="D209" s="195"/>
      <c r="E209" s="195"/>
      <c r="F209" s="79" t="s">
        <v>1050</v>
      </c>
      <c r="G209" s="80">
        <v>31.09</v>
      </c>
      <c r="H209" s="80">
        <v>0</v>
      </c>
      <c r="I209" s="80">
        <f>G209*AO209</f>
        <v>0</v>
      </c>
      <c r="J209" s="80">
        <f>G209*AP209</f>
        <v>0</v>
      </c>
      <c r="K209" s="80">
        <f>G209*H209</f>
        <v>0</v>
      </c>
      <c r="L209" s="80">
        <f>G209*209</f>
        <v>6497.81</v>
      </c>
      <c r="M209" s="94" t="s">
        <v>1066</v>
      </c>
      <c r="N209" s="32"/>
      <c r="Z209" s="11">
        <f>IF(AQ209="5",BJ209,0)</f>
        <v>0</v>
      </c>
      <c r="AB209" s="11">
        <f>IF(AQ209="1",BH209,0)</f>
        <v>0</v>
      </c>
      <c r="AC209" s="11">
        <f>IF(AQ209="1",BI209,0)</f>
        <v>0</v>
      </c>
      <c r="AD209" s="11">
        <f>IF(AQ209="7",BH209,0)</f>
        <v>0</v>
      </c>
      <c r="AE209" s="11">
        <f>IF(AQ209="7",BI209,0)</f>
        <v>0</v>
      </c>
      <c r="AF209" s="11">
        <f>IF(AQ209="2",BH209,0)</f>
        <v>0</v>
      </c>
      <c r="AG209" s="11">
        <f>IF(AQ209="2",BI209,0)</f>
        <v>0</v>
      </c>
      <c r="AH209" s="11">
        <f>IF(AQ209="0",BJ209,0)</f>
        <v>0</v>
      </c>
      <c r="AI209" s="26" t="s">
        <v>76</v>
      </c>
      <c r="AJ209" s="20">
        <f>IF(AN209=0,K209,0)</f>
        <v>0</v>
      </c>
      <c r="AK209" s="20">
        <f>IF(AN209=15,K209,0)</f>
        <v>0</v>
      </c>
      <c r="AL209" s="20">
        <f>IF(AN209=21,K209,0)</f>
        <v>0</v>
      </c>
      <c r="AN209" s="11">
        <v>21</v>
      </c>
      <c r="AO209" s="11">
        <f>H209*0</f>
        <v>0</v>
      </c>
      <c r="AP209" s="11">
        <f>H209*(1-0)</f>
        <v>0</v>
      </c>
      <c r="AQ209" s="27" t="s">
        <v>138</v>
      </c>
      <c r="AV209" s="11">
        <f>AW209+AX209</f>
        <v>0</v>
      </c>
      <c r="AW209" s="11">
        <f>G209*AO209</f>
        <v>0</v>
      </c>
      <c r="AX209" s="11">
        <f>G209*AP209</f>
        <v>0</v>
      </c>
      <c r="AY209" s="29" t="s">
        <v>1089</v>
      </c>
      <c r="AZ209" s="29" t="s">
        <v>1109</v>
      </c>
      <c r="BA209" s="26" t="s">
        <v>1128</v>
      </c>
      <c r="BB209" s="26" t="s">
        <v>1146</v>
      </c>
      <c r="BC209" s="11">
        <f>AW209+AX209</f>
        <v>0</v>
      </c>
      <c r="BD209" s="11">
        <f>H209/(100-BE209)*100</f>
        <v>0</v>
      </c>
      <c r="BE209" s="11">
        <v>0</v>
      </c>
      <c r="BF209" s="11">
        <f>L209</f>
        <v>6497.81</v>
      </c>
      <c r="BH209" s="20">
        <f>G209*AO209</f>
        <v>0</v>
      </c>
      <c r="BI209" s="20">
        <f>G209*AP209</f>
        <v>0</v>
      </c>
      <c r="BJ209" s="20">
        <f>G209*H209</f>
        <v>0</v>
      </c>
      <c r="BK209" s="20" t="s">
        <v>1164</v>
      </c>
      <c r="BL209" s="11">
        <v>96</v>
      </c>
    </row>
    <row r="210" spans="1:64" x14ac:dyDescent="0.2">
      <c r="A210" s="35"/>
      <c r="B210" s="86" t="s">
        <v>354</v>
      </c>
      <c r="C210" s="196" t="s">
        <v>662</v>
      </c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32"/>
    </row>
    <row r="211" spans="1:64" x14ac:dyDescent="0.2">
      <c r="A211" s="35"/>
      <c r="B211" s="36"/>
      <c r="C211" s="81" t="s">
        <v>663</v>
      </c>
      <c r="D211" s="36"/>
      <c r="E211" s="82" t="s">
        <v>965</v>
      </c>
      <c r="F211" s="36"/>
      <c r="G211" s="83">
        <v>31.09</v>
      </c>
      <c r="H211" s="36"/>
      <c r="I211" s="36"/>
      <c r="J211" s="36"/>
      <c r="K211" s="36"/>
      <c r="L211" s="36"/>
      <c r="M211" s="35"/>
      <c r="N211" s="32"/>
    </row>
    <row r="212" spans="1:64" x14ac:dyDescent="0.2">
      <c r="A212" s="79" t="s">
        <v>88</v>
      </c>
      <c r="B212" s="79" t="s">
        <v>410</v>
      </c>
      <c r="C212" s="194" t="s">
        <v>664</v>
      </c>
      <c r="D212" s="195"/>
      <c r="E212" s="195"/>
      <c r="F212" s="79" t="s">
        <v>1049</v>
      </c>
      <c r="G212" s="80">
        <v>1.5545</v>
      </c>
      <c r="H212" s="80">
        <v>0</v>
      </c>
      <c r="I212" s="80">
        <f>G212*AO212</f>
        <v>0</v>
      </c>
      <c r="J212" s="80">
        <f>G212*AP212</f>
        <v>0</v>
      </c>
      <c r="K212" s="80">
        <f>G212*H212</f>
        <v>0</v>
      </c>
      <c r="L212" s="80">
        <f>G212*212</f>
        <v>329.55399999999997</v>
      </c>
      <c r="M212" s="94" t="s">
        <v>1066</v>
      </c>
      <c r="N212" s="32"/>
      <c r="Z212" s="11">
        <f>IF(AQ212="5",BJ212,0)</f>
        <v>0</v>
      </c>
      <c r="AB212" s="11">
        <f>IF(AQ212="1",BH212,0)</f>
        <v>0</v>
      </c>
      <c r="AC212" s="11">
        <f>IF(AQ212="1",BI212,0)</f>
        <v>0</v>
      </c>
      <c r="AD212" s="11">
        <f>IF(AQ212="7",BH212,0)</f>
        <v>0</v>
      </c>
      <c r="AE212" s="11">
        <f>IF(AQ212="7",BI212,0)</f>
        <v>0</v>
      </c>
      <c r="AF212" s="11">
        <f>IF(AQ212="2",BH212,0)</f>
        <v>0</v>
      </c>
      <c r="AG212" s="11">
        <f>IF(AQ212="2",BI212,0)</f>
        <v>0</v>
      </c>
      <c r="AH212" s="11">
        <f>IF(AQ212="0",BJ212,0)</f>
        <v>0</v>
      </c>
      <c r="AI212" s="26" t="s">
        <v>76</v>
      </c>
      <c r="AJ212" s="20">
        <f>IF(AN212=0,K212,0)</f>
        <v>0</v>
      </c>
      <c r="AK212" s="20">
        <f>IF(AN212=15,K212,0)</f>
        <v>0</v>
      </c>
      <c r="AL212" s="20">
        <f>IF(AN212=21,K212,0)</f>
        <v>0</v>
      </c>
      <c r="AN212" s="11">
        <v>21</v>
      </c>
      <c r="AO212" s="11">
        <f>H212*0</f>
        <v>0</v>
      </c>
      <c r="AP212" s="11">
        <f>H212*(1-0)</f>
        <v>0</v>
      </c>
      <c r="AQ212" s="27" t="s">
        <v>138</v>
      </c>
      <c r="AV212" s="11">
        <f>AW212+AX212</f>
        <v>0</v>
      </c>
      <c r="AW212" s="11">
        <f>G212*AO212</f>
        <v>0</v>
      </c>
      <c r="AX212" s="11">
        <f>G212*AP212</f>
        <v>0</v>
      </c>
      <c r="AY212" s="29" t="s">
        <v>1089</v>
      </c>
      <c r="AZ212" s="29" t="s">
        <v>1109</v>
      </c>
      <c r="BA212" s="26" t="s">
        <v>1128</v>
      </c>
      <c r="BB212" s="26" t="s">
        <v>1146</v>
      </c>
      <c r="BC212" s="11">
        <f>AW212+AX212</f>
        <v>0</v>
      </c>
      <c r="BD212" s="11">
        <f>H212/(100-BE212)*100</f>
        <v>0</v>
      </c>
      <c r="BE212" s="11">
        <v>0</v>
      </c>
      <c r="BF212" s="11">
        <f>L212</f>
        <v>329.55399999999997</v>
      </c>
      <c r="BH212" s="20">
        <f>G212*AO212</f>
        <v>0</v>
      </c>
      <c r="BI212" s="20">
        <f>G212*AP212</f>
        <v>0</v>
      </c>
      <c r="BJ212" s="20">
        <f>G212*H212</f>
        <v>0</v>
      </c>
      <c r="BK212" s="20" t="s">
        <v>1164</v>
      </c>
      <c r="BL212" s="11">
        <v>96</v>
      </c>
    </row>
    <row r="213" spans="1:64" x14ac:dyDescent="0.2">
      <c r="A213" s="35"/>
      <c r="B213" s="86" t="s">
        <v>354</v>
      </c>
      <c r="C213" s="196" t="s">
        <v>665</v>
      </c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32"/>
    </row>
    <row r="214" spans="1:64" x14ac:dyDescent="0.2">
      <c r="A214" s="35"/>
      <c r="B214" s="36"/>
      <c r="C214" s="81" t="s">
        <v>666</v>
      </c>
      <c r="D214" s="36"/>
      <c r="E214" s="82" t="s">
        <v>966</v>
      </c>
      <c r="F214" s="36"/>
      <c r="G214" s="83">
        <v>1.5545</v>
      </c>
      <c r="H214" s="36"/>
      <c r="I214" s="36"/>
      <c r="J214" s="36"/>
      <c r="K214" s="36"/>
      <c r="L214" s="36"/>
      <c r="M214" s="35"/>
      <c r="N214" s="32"/>
    </row>
    <row r="215" spans="1:64" x14ac:dyDescent="0.2">
      <c r="A215" s="79" t="s">
        <v>197</v>
      </c>
      <c r="B215" s="79" t="s">
        <v>411</v>
      </c>
      <c r="C215" s="194" t="s">
        <v>667</v>
      </c>
      <c r="D215" s="195"/>
      <c r="E215" s="195"/>
      <c r="F215" s="79" t="s">
        <v>1051</v>
      </c>
      <c r="G215" s="80">
        <v>15.43</v>
      </c>
      <c r="H215" s="80">
        <v>0</v>
      </c>
      <c r="I215" s="80">
        <f>G215*AO215</f>
        <v>0</v>
      </c>
      <c r="J215" s="80">
        <f>G215*AP215</f>
        <v>0</v>
      </c>
      <c r="K215" s="80">
        <f>G215*H215</f>
        <v>0</v>
      </c>
      <c r="L215" s="80">
        <f>G215*215</f>
        <v>3317.45</v>
      </c>
      <c r="M215" s="94" t="s">
        <v>1066</v>
      </c>
      <c r="N215" s="32"/>
      <c r="Z215" s="11">
        <f>IF(AQ215="5",BJ215,0)</f>
        <v>0</v>
      </c>
      <c r="AB215" s="11">
        <f>IF(AQ215="1",BH215,0)</f>
        <v>0</v>
      </c>
      <c r="AC215" s="11">
        <f>IF(AQ215="1",BI215,0)</f>
        <v>0</v>
      </c>
      <c r="AD215" s="11">
        <f>IF(AQ215="7",BH215,0)</f>
        <v>0</v>
      </c>
      <c r="AE215" s="11">
        <f>IF(AQ215="7",BI215,0)</f>
        <v>0</v>
      </c>
      <c r="AF215" s="11">
        <f>IF(AQ215="2",BH215,0)</f>
        <v>0</v>
      </c>
      <c r="AG215" s="11">
        <f>IF(AQ215="2",BI215,0)</f>
        <v>0</v>
      </c>
      <c r="AH215" s="11">
        <f>IF(AQ215="0",BJ215,0)</f>
        <v>0</v>
      </c>
      <c r="AI215" s="26" t="s">
        <v>76</v>
      </c>
      <c r="AJ215" s="20">
        <f>IF(AN215=0,K215,0)</f>
        <v>0</v>
      </c>
      <c r="AK215" s="20">
        <f>IF(AN215=15,K215,0)</f>
        <v>0</v>
      </c>
      <c r="AL215" s="20">
        <f>IF(AN215=21,K215,0)</f>
        <v>0</v>
      </c>
      <c r="AN215" s="11">
        <v>21</v>
      </c>
      <c r="AO215" s="11">
        <f>H215*0</f>
        <v>0</v>
      </c>
      <c r="AP215" s="11">
        <f>H215*(1-0)</f>
        <v>0</v>
      </c>
      <c r="AQ215" s="27" t="s">
        <v>138</v>
      </c>
      <c r="AV215" s="11">
        <f>AW215+AX215</f>
        <v>0</v>
      </c>
      <c r="AW215" s="11">
        <f>G215*AO215</f>
        <v>0</v>
      </c>
      <c r="AX215" s="11">
        <f>G215*AP215</f>
        <v>0</v>
      </c>
      <c r="AY215" s="29" t="s">
        <v>1089</v>
      </c>
      <c r="AZ215" s="29" t="s">
        <v>1109</v>
      </c>
      <c r="BA215" s="26" t="s">
        <v>1128</v>
      </c>
      <c r="BB215" s="26" t="s">
        <v>1146</v>
      </c>
      <c r="BC215" s="11">
        <f>AW215+AX215</f>
        <v>0</v>
      </c>
      <c r="BD215" s="11">
        <f>H215/(100-BE215)*100</f>
        <v>0</v>
      </c>
      <c r="BE215" s="11">
        <v>0</v>
      </c>
      <c r="BF215" s="11">
        <f>L215</f>
        <v>3317.45</v>
      </c>
      <c r="BH215" s="20">
        <f>G215*AO215</f>
        <v>0</v>
      </c>
      <c r="BI215" s="20">
        <f>G215*AP215</f>
        <v>0</v>
      </c>
      <c r="BJ215" s="20">
        <f>G215*H215</f>
        <v>0</v>
      </c>
      <c r="BK215" s="20" t="s">
        <v>1164</v>
      </c>
      <c r="BL215" s="11">
        <v>96</v>
      </c>
    </row>
    <row r="216" spans="1:64" x14ac:dyDescent="0.2">
      <c r="A216" s="35"/>
      <c r="B216" s="36"/>
      <c r="C216" s="81" t="s">
        <v>668</v>
      </c>
      <c r="D216" s="36"/>
      <c r="E216" s="82" t="s">
        <v>967</v>
      </c>
      <c r="F216" s="36"/>
      <c r="G216" s="83">
        <v>17.03</v>
      </c>
      <c r="H216" s="36"/>
      <c r="I216" s="36"/>
      <c r="J216" s="36"/>
      <c r="K216" s="36"/>
      <c r="L216" s="36"/>
      <c r="M216" s="35"/>
      <c r="N216" s="32"/>
    </row>
    <row r="217" spans="1:64" x14ac:dyDescent="0.2">
      <c r="A217" s="35"/>
      <c r="B217" s="36"/>
      <c r="C217" s="81" t="s">
        <v>669</v>
      </c>
      <c r="D217" s="36"/>
      <c r="E217" s="82" t="s">
        <v>948</v>
      </c>
      <c r="F217" s="36"/>
      <c r="G217" s="83">
        <v>-1.6</v>
      </c>
      <c r="H217" s="36"/>
      <c r="I217" s="36"/>
      <c r="J217" s="36"/>
      <c r="K217" s="36"/>
      <c r="L217" s="36"/>
      <c r="M217" s="35"/>
      <c r="N217" s="32"/>
    </row>
    <row r="218" spans="1:64" x14ac:dyDescent="0.2">
      <c r="A218" s="79" t="s">
        <v>198</v>
      </c>
      <c r="B218" s="79" t="s">
        <v>412</v>
      </c>
      <c r="C218" s="194" t="s">
        <v>670</v>
      </c>
      <c r="D218" s="195"/>
      <c r="E218" s="195"/>
      <c r="F218" s="79" t="s">
        <v>1050</v>
      </c>
      <c r="G218" s="80">
        <v>0.5494</v>
      </c>
      <c r="H218" s="80">
        <v>0</v>
      </c>
      <c r="I218" s="80">
        <f>G218*AO218</f>
        <v>0</v>
      </c>
      <c r="J218" s="80">
        <f>G218*AP218</f>
        <v>0</v>
      </c>
      <c r="K218" s="80">
        <f>G218*H218</f>
        <v>0</v>
      </c>
      <c r="L218" s="80">
        <f>G218*218</f>
        <v>119.7692</v>
      </c>
      <c r="M218" s="94" t="s">
        <v>1066</v>
      </c>
      <c r="N218" s="32"/>
      <c r="Z218" s="11">
        <f>IF(AQ218="5",BJ218,0)</f>
        <v>0</v>
      </c>
      <c r="AB218" s="11">
        <f>IF(AQ218="1",BH218,0)</f>
        <v>0</v>
      </c>
      <c r="AC218" s="11">
        <f>IF(AQ218="1",BI218,0)</f>
        <v>0</v>
      </c>
      <c r="AD218" s="11">
        <f>IF(AQ218="7",BH218,0)</f>
        <v>0</v>
      </c>
      <c r="AE218" s="11">
        <f>IF(AQ218="7",BI218,0)</f>
        <v>0</v>
      </c>
      <c r="AF218" s="11">
        <f>IF(AQ218="2",BH218,0)</f>
        <v>0</v>
      </c>
      <c r="AG218" s="11">
        <f>IF(AQ218="2",BI218,0)</f>
        <v>0</v>
      </c>
      <c r="AH218" s="11">
        <f>IF(AQ218="0",BJ218,0)</f>
        <v>0</v>
      </c>
      <c r="AI218" s="26" t="s">
        <v>76</v>
      </c>
      <c r="AJ218" s="20">
        <f>IF(AN218=0,K218,0)</f>
        <v>0</v>
      </c>
      <c r="AK218" s="20">
        <f>IF(AN218=15,K218,0)</f>
        <v>0</v>
      </c>
      <c r="AL218" s="20">
        <f>IF(AN218=21,K218,0)</f>
        <v>0</v>
      </c>
      <c r="AN218" s="11">
        <v>21</v>
      </c>
      <c r="AO218" s="11">
        <f>H218*0.217461505025808</f>
        <v>0</v>
      </c>
      <c r="AP218" s="11">
        <f>H218*(1-0.217461505025808)</f>
        <v>0</v>
      </c>
      <c r="AQ218" s="27" t="s">
        <v>138</v>
      </c>
      <c r="AV218" s="11">
        <f>AW218+AX218</f>
        <v>0</v>
      </c>
      <c r="AW218" s="11">
        <f>G218*AO218</f>
        <v>0</v>
      </c>
      <c r="AX218" s="11">
        <f>G218*AP218</f>
        <v>0</v>
      </c>
      <c r="AY218" s="29" t="s">
        <v>1089</v>
      </c>
      <c r="AZ218" s="29" t="s">
        <v>1109</v>
      </c>
      <c r="BA218" s="26" t="s">
        <v>1128</v>
      </c>
      <c r="BB218" s="26" t="s">
        <v>1146</v>
      </c>
      <c r="BC218" s="11">
        <f>AW218+AX218</f>
        <v>0</v>
      </c>
      <c r="BD218" s="11">
        <f>H218/(100-BE218)*100</f>
        <v>0</v>
      </c>
      <c r="BE218" s="11">
        <v>0</v>
      </c>
      <c r="BF218" s="11">
        <f>L218</f>
        <v>119.7692</v>
      </c>
      <c r="BH218" s="20">
        <f>G218*AO218</f>
        <v>0</v>
      </c>
      <c r="BI218" s="20">
        <f>G218*AP218</f>
        <v>0</v>
      </c>
      <c r="BJ218" s="20">
        <f>G218*H218</f>
        <v>0</v>
      </c>
      <c r="BK218" s="20" t="s">
        <v>1164</v>
      </c>
      <c r="BL218" s="11">
        <v>96</v>
      </c>
    </row>
    <row r="219" spans="1:64" x14ac:dyDescent="0.2">
      <c r="A219" s="35"/>
      <c r="B219" s="86" t="s">
        <v>354</v>
      </c>
      <c r="C219" s="196" t="s">
        <v>671</v>
      </c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32"/>
    </row>
    <row r="220" spans="1:64" x14ac:dyDescent="0.2">
      <c r="A220" s="35"/>
      <c r="B220" s="36"/>
      <c r="C220" s="81" t="s">
        <v>672</v>
      </c>
      <c r="D220" s="36"/>
      <c r="E220" s="82" t="s">
        <v>968</v>
      </c>
      <c r="F220" s="36"/>
      <c r="G220" s="83">
        <v>0.5494</v>
      </c>
      <c r="H220" s="36"/>
      <c r="I220" s="36"/>
      <c r="J220" s="36"/>
      <c r="K220" s="36"/>
      <c r="L220" s="36"/>
      <c r="M220" s="35"/>
      <c r="N220" s="32"/>
    </row>
    <row r="221" spans="1:64" x14ac:dyDescent="0.2">
      <c r="A221" s="79" t="s">
        <v>199</v>
      </c>
      <c r="B221" s="79" t="s">
        <v>413</v>
      </c>
      <c r="C221" s="194" t="s">
        <v>673</v>
      </c>
      <c r="D221" s="195"/>
      <c r="E221" s="195"/>
      <c r="F221" s="79" t="s">
        <v>1047</v>
      </c>
      <c r="G221" s="80">
        <v>6</v>
      </c>
      <c r="H221" s="80">
        <v>0</v>
      </c>
      <c r="I221" s="80">
        <f>G221*AO221</f>
        <v>0</v>
      </c>
      <c r="J221" s="80">
        <f>G221*AP221</f>
        <v>0</v>
      </c>
      <c r="K221" s="80">
        <f>G221*H221</f>
        <v>0</v>
      </c>
      <c r="L221" s="80">
        <f>G221*221</f>
        <v>1326</v>
      </c>
      <c r="M221" s="94" t="s">
        <v>1066</v>
      </c>
      <c r="N221" s="32"/>
      <c r="Z221" s="11">
        <f>IF(AQ221="5",BJ221,0)</f>
        <v>0</v>
      </c>
      <c r="AB221" s="11">
        <f>IF(AQ221="1",BH221,0)</f>
        <v>0</v>
      </c>
      <c r="AC221" s="11">
        <f>IF(AQ221="1",BI221,0)</f>
        <v>0</v>
      </c>
      <c r="AD221" s="11">
        <f>IF(AQ221="7",BH221,0)</f>
        <v>0</v>
      </c>
      <c r="AE221" s="11">
        <f>IF(AQ221="7",BI221,0)</f>
        <v>0</v>
      </c>
      <c r="AF221" s="11">
        <f>IF(AQ221="2",BH221,0)</f>
        <v>0</v>
      </c>
      <c r="AG221" s="11">
        <f>IF(AQ221="2",BI221,0)</f>
        <v>0</v>
      </c>
      <c r="AH221" s="11">
        <f>IF(AQ221="0",BJ221,0)</f>
        <v>0</v>
      </c>
      <c r="AI221" s="26" t="s">
        <v>76</v>
      </c>
      <c r="AJ221" s="20">
        <f>IF(AN221=0,K221,0)</f>
        <v>0</v>
      </c>
      <c r="AK221" s="20">
        <f>IF(AN221=15,K221,0)</f>
        <v>0</v>
      </c>
      <c r="AL221" s="20">
        <f>IF(AN221=21,K221,0)</f>
        <v>0</v>
      </c>
      <c r="AN221" s="11">
        <v>21</v>
      </c>
      <c r="AO221" s="11">
        <f>H221*0</f>
        <v>0</v>
      </c>
      <c r="AP221" s="11">
        <f>H221*(1-0)</f>
        <v>0</v>
      </c>
      <c r="AQ221" s="27" t="s">
        <v>138</v>
      </c>
      <c r="AV221" s="11">
        <f>AW221+AX221</f>
        <v>0</v>
      </c>
      <c r="AW221" s="11">
        <f>G221*AO221</f>
        <v>0</v>
      </c>
      <c r="AX221" s="11">
        <f>G221*AP221</f>
        <v>0</v>
      </c>
      <c r="AY221" s="29" t="s">
        <v>1089</v>
      </c>
      <c r="AZ221" s="29" t="s">
        <v>1109</v>
      </c>
      <c r="BA221" s="26" t="s">
        <v>1128</v>
      </c>
      <c r="BB221" s="26" t="s">
        <v>1146</v>
      </c>
      <c r="BC221" s="11">
        <f>AW221+AX221</f>
        <v>0</v>
      </c>
      <c r="BD221" s="11">
        <f>H221/(100-BE221)*100</f>
        <v>0</v>
      </c>
      <c r="BE221" s="11">
        <v>0</v>
      </c>
      <c r="BF221" s="11">
        <f>L221</f>
        <v>1326</v>
      </c>
      <c r="BH221" s="20">
        <f>G221*AO221</f>
        <v>0</v>
      </c>
      <c r="BI221" s="20">
        <f>G221*AP221</f>
        <v>0</v>
      </c>
      <c r="BJ221" s="20">
        <f>G221*H221</f>
        <v>0</v>
      </c>
      <c r="BK221" s="20" t="s">
        <v>1164</v>
      </c>
      <c r="BL221" s="11">
        <v>96</v>
      </c>
    </row>
    <row r="222" spans="1:64" x14ac:dyDescent="0.2">
      <c r="A222" s="35"/>
      <c r="B222" s="36"/>
      <c r="C222" s="81" t="s">
        <v>569</v>
      </c>
      <c r="D222" s="36"/>
      <c r="E222" s="82" t="s">
        <v>969</v>
      </c>
      <c r="F222" s="36"/>
      <c r="G222" s="83">
        <v>2</v>
      </c>
      <c r="H222" s="36"/>
      <c r="I222" s="36"/>
      <c r="J222" s="36"/>
      <c r="K222" s="36"/>
      <c r="L222" s="36"/>
      <c r="M222" s="35"/>
      <c r="N222" s="32"/>
    </row>
    <row r="223" spans="1:64" x14ac:dyDescent="0.2">
      <c r="A223" s="35"/>
      <c r="B223" s="36"/>
      <c r="C223" s="81" t="s">
        <v>674</v>
      </c>
      <c r="D223" s="36"/>
      <c r="E223" s="82" t="s">
        <v>970</v>
      </c>
      <c r="F223" s="36"/>
      <c r="G223" s="83">
        <v>3</v>
      </c>
      <c r="H223" s="36"/>
      <c r="I223" s="36"/>
      <c r="J223" s="36"/>
      <c r="K223" s="36"/>
      <c r="L223" s="36"/>
      <c r="M223" s="35"/>
      <c r="N223" s="32"/>
    </row>
    <row r="224" spans="1:64" x14ac:dyDescent="0.2">
      <c r="A224" s="35"/>
      <c r="B224" s="36"/>
      <c r="C224" s="81" t="s">
        <v>138</v>
      </c>
      <c r="D224" s="36"/>
      <c r="E224" s="82" t="s">
        <v>971</v>
      </c>
      <c r="F224" s="36"/>
      <c r="G224" s="83">
        <v>1</v>
      </c>
      <c r="H224" s="36"/>
      <c r="I224" s="36"/>
      <c r="J224" s="36"/>
      <c r="K224" s="36"/>
      <c r="L224" s="36"/>
      <c r="M224" s="35"/>
      <c r="N224" s="32"/>
    </row>
    <row r="225" spans="1:64" x14ac:dyDescent="0.2">
      <c r="A225" s="79" t="s">
        <v>200</v>
      </c>
      <c r="B225" s="79" t="s">
        <v>414</v>
      </c>
      <c r="C225" s="194" t="s">
        <v>675</v>
      </c>
      <c r="D225" s="195"/>
      <c r="E225" s="195"/>
      <c r="F225" s="79" t="s">
        <v>1050</v>
      </c>
      <c r="G225" s="80">
        <v>9.6</v>
      </c>
      <c r="H225" s="80">
        <v>0</v>
      </c>
      <c r="I225" s="80">
        <f>G225*AO225</f>
        <v>0</v>
      </c>
      <c r="J225" s="80">
        <f>G225*AP225</f>
        <v>0</v>
      </c>
      <c r="K225" s="80">
        <f>G225*H225</f>
        <v>0</v>
      </c>
      <c r="L225" s="80">
        <f>G225*225</f>
        <v>2160</v>
      </c>
      <c r="M225" s="94" t="s">
        <v>1066</v>
      </c>
      <c r="N225" s="32"/>
      <c r="Z225" s="11">
        <f>IF(AQ225="5",BJ225,0)</f>
        <v>0</v>
      </c>
      <c r="AB225" s="11">
        <f>IF(AQ225="1",BH225,0)</f>
        <v>0</v>
      </c>
      <c r="AC225" s="11">
        <f>IF(AQ225="1",BI225,0)</f>
        <v>0</v>
      </c>
      <c r="AD225" s="11">
        <f>IF(AQ225="7",BH225,0)</f>
        <v>0</v>
      </c>
      <c r="AE225" s="11">
        <f>IF(AQ225="7",BI225,0)</f>
        <v>0</v>
      </c>
      <c r="AF225" s="11">
        <f>IF(AQ225="2",BH225,0)</f>
        <v>0</v>
      </c>
      <c r="AG225" s="11">
        <f>IF(AQ225="2",BI225,0)</f>
        <v>0</v>
      </c>
      <c r="AH225" s="11">
        <f>IF(AQ225="0",BJ225,0)</f>
        <v>0</v>
      </c>
      <c r="AI225" s="26" t="s">
        <v>76</v>
      </c>
      <c r="AJ225" s="20">
        <f>IF(AN225=0,K225,0)</f>
        <v>0</v>
      </c>
      <c r="AK225" s="20">
        <f>IF(AN225=15,K225,0)</f>
        <v>0</v>
      </c>
      <c r="AL225" s="20">
        <f>IF(AN225=21,K225,0)</f>
        <v>0</v>
      </c>
      <c r="AN225" s="11">
        <v>21</v>
      </c>
      <c r="AO225" s="11">
        <f>H225*0.0780175658720201</f>
        <v>0</v>
      </c>
      <c r="AP225" s="11">
        <f>H225*(1-0.0780175658720201)</f>
        <v>0</v>
      </c>
      <c r="AQ225" s="27" t="s">
        <v>138</v>
      </c>
      <c r="AV225" s="11">
        <f>AW225+AX225</f>
        <v>0</v>
      </c>
      <c r="AW225" s="11">
        <f>G225*AO225</f>
        <v>0</v>
      </c>
      <c r="AX225" s="11">
        <f>G225*AP225</f>
        <v>0</v>
      </c>
      <c r="AY225" s="29" t="s">
        <v>1089</v>
      </c>
      <c r="AZ225" s="29" t="s">
        <v>1109</v>
      </c>
      <c r="BA225" s="26" t="s">
        <v>1128</v>
      </c>
      <c r="BB225" s="26" t="s">
        <v>1146</v>
      </c>
      <c r="BC225" s="11">
        <f>AW225+AX225</f>
        <v>0</v>
      </c>
      <c r="BD225" s="11">
        <f>H225/(100-BE225)*100</f>
        <v>0</v>
      </c>
      <c r="BE225" s="11">
        <v>0</v>
      </c>
      <c r="BF225" s="11">
        <f>L225</f>
        <v>2160</v>
      </c>
      <c r="BH225" s="20">
        <f>G225*AO225</f>
        <v>0</v>
      </c>
      <c r="BI225" s="20">
        <f>G225*AP225</f>
        <v>0</v>
      </c>
      <c r="BJ225" s="20">
        <f>G225*H225</f>
        <v>0</v>
      </c>
      <c r="BK225" s="20" t="s">
        <v>1164</v>
      </c>
      <c r="BL225" s="11">
        <v>96</v>
      </c>
    </row>
    <row r="226" spans="1:64" x14ac:dyDescent="0.2">
      <c r="A226" s="35"/>
      <c r="B226" s="36"/>
      <c r="C226" s="81" t="s">
        <v>676</v>
      </c>
      <c r="D226" s="36"/>
      <c r="E226" s="82" t="s">
        <v>972</v>
      </c>
      <c r="F226" s="36"/>
      <c r="G226" s="83">
        <v>3.2</v>
      </c>
      <c r="H226" s="36"/>
      <c r="I226" s="36"/>
      <c r="J226" s="36"/>
      <c r="K226" s="36"/>
      <c r="L226" s="36"/>
      <c r="M226" s="35"/>
      <c r="N226" s="32"/>
    </row>
    <row r="227" spans="1:64" x14ac:dyDescent="0.2">
      <c r="A227" s="35"/>
      <c r="B227" s="36"/>
      <c r="C227" s="81" t="s">
        <v>677</v>
      </c>
      <c r="D227" s="36"/>
      <c r="E227" s="82" t="s">
        <v>973</v>
      </c>
      <c r="F227" s="36"/>
      <c r="G227" s="83">
        <v>4.8</v>
      </c>
      <c r="H227" s="36"/>
      <c r="I227" s="36"/>
      <c r="J227" s="36"/>
      <c r="K227" s="36"/>
      <c r="L227" s="36"/>
      <c r="M227" s="35"/>
      <c r="N227" s="32"/>
    </row>
    <row r="228" spans="1:64" x14ac:dyDescent="0.2">
      <c r="A228" s="35"/>
      <c r="B228" s="36"/>
      <c r="C228" s="81" t="s">
        <v>678</v>
      </c>
      <c r="D228" s="36"/>
      <c r="E228" s="82" t="s">
        <v>974</v>
      </c>
      <c r="F228" s="36"/>
      <c r="G228" s="83">
        <v>1.6</v>
      </c>
      <c r="H228" s="36"/>
      <c r="I228" s="36"/>
      <c r="J228" s="36"/>
      <c r="K228" s="36"/>
      <c r="L228" s="36"/>
      <c r="M228" s="35"/>
      <c r="N228" s="32"/>
    </row>
    <row r="229" spans="1:64" x14ac:dyDescent="0.2">
      <c r="A229" s="79" t="s">
        <v>201</v>
      </c>
      <c r="B229" s="79" t="s">
        <v>415</v>
      </c>
      <c r="C229" s="194" t="s">
        <v>679</v>
      </c>
      <c r="D229" s="195"/>
      <c r="E229" s="195"/>
      <c r="F229" s="79" t="s">
        <v>1050</v>
      </c>
      <c r="G229" s="80">
        <v>10.209</v>
      </c>
      <c r="H229" s="80">
        <v>0</v>
      </c>
      <c r="I229" s="80">
        <f>G229*AO229</f>
        <v>0</v>
      </c>
      <c r="J229" s="80">
        <f>G229*AP229</f>
        <v>0</v>
      </c>
      <c r="K229" s="80">
        <f>G229*H229</f>
        <v>0</v>
      </c>
      <c r="L229" s="80">
        <f>G229*229</f>
        <v>2337.8609999999999</v>
      </c>
      <c r="M229" s="94" t="s">
        <v>1066</v>
      </c>
      <c r="N229" s="32"/>
      <c r="Z229" s="11">
        <f>IF(AQ229="5",BJ229,0)</f>
        <v>0</v>
      </c>
      <c r="AB229" s="11">
        <f>IF(AQ229="1",BH229,0)</f>
        <v>0</v>
      </c>
      <c r="AC229" s="11">
        <f>IF(AQ229="1",BI229,0)</f>
        <v>0</v>
      </c>
      <c r="AD229" s="11">
        <f>IF(AQ229="7",BH229,0)</f>
        <v>0</v>
      </c>
      <c r="AE229" s="11">
        <f>IF(AQ229="7",BI229,0)</f>
        <v>0</v>
      </c>
      <c r="AF229" s="11">
        <f>IF(AQ229="2",BH229,0)</f>
        <v>0</v>
      </c>
      <c r="AG229" s="11">
        <f>IF(AQ229="2",BI229,0)</f>
        <v>0</v>
      </c>
      <c r="AH229" s="11">
        <f>IF(AQ229="0",BJ229,0)</f>
        <v>0</v>
      </c>
      <c r="AI229" s="26" t="s">
        <v>76</v>
      </c>
      <c r="AJ229" s="20">
        <f>IF(AN229=0,K229,0)</f>
        <v>0</v>
      </c>
      <c r="AK229" s="20">
        <f>IF(AN229=15,K229,0)</f>
        <v>0</v>
      </c>
      <c r="AL229" s="20">
        <f>IF(AN229=21,K229,0)</f>
        <v>0</v>
      </c>
      <c r="AN229" s="11">
        <v>21</v>
      </c>
      <c r="AO229" s="11">
        <f>H229*0.104621509140863</f>
        <v>0</v>
      </c>
      <c r="AP229" s="11">
        <f>H229*(1-0.104621509140863)</f>
        <v>0</v>
      </c>
      <c r="AQ229" s="27" t="s">
        <v>138</v>
      </c>
      <c r="AV229" s="11">
        <f>AW229+AX229</f>
        <v>0</v>
      </c>
      <c r="AW229" s="11">
        <f>G229*AO229</f>
        <v>0</v>
      </c>
      <c r="AX229" s="11">
        <f>G229*AP229</f>
        <v>0</v>
      </c>
      <c r="AY229" s="29" t="s">
        <v>1089</v>
      </c>
      <c r="AZ229" s="29" t="s">
        <v>1109</v>
      </c>
      <c r="BA229" s="26" t="s">
        <v>1128</v>
      </c>
      <c r="BB229" s="26" t="s">
        <v>1146</v>
      </c>
      <c r="BC229" s="11">
        <f>AW229+AX229</f>
        <v>0</v>
      </c>
      <c r="BD229" s="11">
        <f>H229/(100-BE229)*100</f>
        <v>0</v>
      </c>
      <c r="BE229" s="11">
        <v>0</v>
      </c>
      <c r="BF229" s="11">
        <f>L229</f>
        <v>2337.8609999999999</v>
      </c>
      <c r="BH229" s="20">
        <f>G229*AO229</f>
        <v>0</v>
      </c>
      <c r="BI229" s="20">
        <f>G229*AP229</f>
        <v>0</v>
      </c>
      <c r="BJ229" s="20">
        <f>G229*H229</f>
        <v>0</v>
      </c>
      <c r="BK229" s="20" t="s">
        <v>1164</v>
      </c>
      <c r="BL229" s="11">
        <v>96</v>
      </c>
    </row>
    <row r="230" spans="1:64" x14ac:dyDescent="0.2">
      <c r="A230" s="35"/>
      <c r="B230" s="36"/>
      <c r="C230" s="81" t="s">
        <v>680</v>
      </c>
      <c r="D230" s="36"/>
      <c r="E230" s="82" t="s">
        <v>975</v>
      </c>
      <c r="F230" s="36"/>
      <c r="G230" s="83">
        <v>13.609</v>
      </c>
      <c r="H230" s="36"/>
      <c r="I230" s="36"/>
      <c r="J230" s="36"/>
      <c r="K230" s="36"/>
      <c r="L230" s="36"/>
      <c r="M230" s="35"/>
      <c r="N230" s="32"/>
    </row>
    <row r="231" spans="1:64" x14ac:dyDescent="0.2">
      <c r="A231" s="35"/>
      <c r="B231" s="36"/>
      <c r="C231" s="81" t="s">
        <v>681</v>
      </c>
      <c r="D231" s="36"/>
      <c r="E231" s="82" t="s">
        <v>976</v>
      </c>
      <c r="F231" s="36"/>
      <c r="G231" s="83">
        <v>-3.4</v>
      </c>
      <c r="H231" s="36"/>
      <c r="I231" s="36"/>
      <c r="J231" s="36"/>
      <c r="K231" s="36"/>
      <c r="L231" s="36"/>
      <c r="M231" s="35"/>
      <c r="N231" s="32"/>
    </row>
    <row r="232" spans="1:64" x14ac:dyDescent="0.2">
      <c r="A232" s="79" t="s">
        <v>202</v>
      </c>
      <c r="B232" s="79" t="s">
        <v>416</v>
      </c>
      <c r="C232" s="194" t="s">
        <v>682</v>
      </c>
      <c r="D232" s="195"/>
      <c r="E232" s="195"/>
      <c r="F232" s="79" t="s">
        <v>1050</v>
      </c>
      <c r="G232" s="80">
        <v>4.8</v>
      </c>
      <c r="H232" s="80">
        <v>0</v>
      </c>
      <c r="I232" s="80">
        <f>G232*AO232</f>
        <v>0</v>
      </c>
      <c r="J232" s="80">
        <f>G232*AP232</f>
        <v>0</v>
      </c>
      <c r="K232" s="80">
        <f>G232*H232</f>
        <v>0</v>
      </c>
      <c r="L232" s="80">
        <f>G232*232</f>
        <v>1113.5999999999999</v>
      </c>
      <c r="M232" s="94" t="s">
        <v>1066</v>
      </c>
      <c r="N232" s="32"/>
      <c r="Z232" s="11">
        <f>IF(AQ232="5",BJ232,0)</f>
        <v>0</v>
      </c>
      <c r="AB232" s="11">
        <f>IF(AQ232="1",BH232,0)</f>
        <v>0</v>
      </c>
      <c r="AC232" s="11">
        <f>IF(AQ232="1",BI232,0)</f>
        <v>0</v>
      </c>
      <c r="AD232" s="11">
        <f>IF(AQ232="7",BH232,0)</f>
        <v>0</v>
      </c>
      <c r="AE232" s="11">
        <f>IF(AQ232="7",BI232,0)</f>
        <v>0</v>
      </c>
      <c r="AF232" s="11">
        <f>IF(AQ232="2",BH232,0)</f>
        <v>0</v>
      </c>
      <c r="AG232" s="11">
        <f>IF(AQ232="2",BI232,0)</f>
        <v>0</v>
      </c>
      <c r="AH232" s="11">
        <f>IF(AQ232="0",BJ232,0)</f>
        <v>0</v>
      </c>
      <c r="AI232" s="26" t="s">
        <v>76</v>
      </c>
      <c r="AJ232" s="20">
        <f>IF(AN232=0,K232,0)</f>
        <v>0</v>
      </c>
      <c r="AK232" s="20">
        <f>IF(AN232=15,K232,0)</f>
        <v>0</v>
      </c>
      <c r="AL232" s="20">
        <f>IF(AN232=21,K232,0)</f>
        <v>0</v>
      </c>
      <c r="AN232" s="11">
        <v>21</v>
      </c>
      <c r="AO232" s="11">
        <f>H232*0.14031746031746</f>
        <v>0</v>
      </c>
      <c r="AP232" s="11">
        <f>H232*(1-0.14031746031746)</f>
        <v>0</v>
      </c>
      <c r="AQ232" s="27" t="s">
        <v>138</v>
      </c>
      <c r="AV232" s="11">
        <f>AW232+AX232</f>
        <v>0</v>
      </c>
      <c r="AW232" s="11">
        <f>G232*AO232</f>
        <v>0</v>
      </c>
      <c r="AX232" s="11">
        <f>G232*AP232</f>
        <v>0</v>
      </c>
      <c r="AY232" s="29" t="s">
        <v>1089</v>
      </c>
      <c r="AZ232" s="29" t="s">
        <v>1109</v>
      </c>
      <c r="BA232" s="26" t="s">
        <v>1128</v>
      </c>
      <c r="BB232" s="26" t="s">
        <v>1146</v>
      </c>
      <c r="BC232" s="11">
        <f>AW232+AX232</f>
        <v>0</v>
      </c>
      <c r="BD232" s="11">
        <f>H232/(100-BE232)*100</f>
        <v>0</v>
      </c>
      <c r="BE232" s="11">
        <v>0</v>
      </c>
      <c r="BF232" s="11">
        <f>L232</f>
        <v>1113.5999999999999</v>
      </c>
      <c r="BH232" s="20">
        <f>G232*AO232</f>
        <v>0</v>
      </c>
      <c r="BI232" s="20">
        <f>G232*AP232</f>
        <v>0</v>
      </c>
      <c r="BJ232" s="20">
        <f>G232*H232</f>
        <v>0</v>
      </c>
      <c r="BK232" s="20" t="s">
        <v>1164</v>
      </c>
      <c r="BL232" s="11">
        <v>96</v>
      </c>
    </row>
    <row r="233" spans="1:64" x14ac:dyDescent="0.2">
      <c r="A233" s="35"/>
      <c r="B233" s="36"/>
      <c r="C233" s="81" t="s">
        <v>683</v>
      </c>
      <c r="D233" s="36"/>
      <c r="E233" s="82" t="s">
        <v>977</v>
      </c>
      <c r="F233" s="36"/>
      <c r="G233" s="83">
        <v>6</v>
      </c>
      <c r="H233" s="36"/>
      <c r="I233" s="36"/>
      <c r="J233" s="36"/>
      <c r="K233" s="36"/>
      <c r="L233" s="36"/>
      <c r="M233" s="35"/>
      <c r="N233" s="32"/>
    </row>
    <row r="234" spans="1:64" x14ac:dyDescent="0.2">
      <c r="A234" s="35"/>
      <c r="B234" s="36"/>
      <c r="C234" s="81" t="s">
        <v>684</v>
      </c>
      <c r="D234" s="36"/>
      <c r="E234" s="82"/>
      <c r="F234" s="36"/>
      <c r="G234" s="83">
        <v>-1.2</v>
      </c>
      <c r="H234" s="36"/>
      <c r="I234" s="36"/>
      <c r="J234" s="36"/>
      <c r="K234" s="36"/>
      <c r="L234" s="36"/>
      <c r="M234" s="35"/>
      <c r="N234" s="32"/>
    </row>
    <row r="235" spans="1:64" x14ac:dyDescent="0.2">
      <c r="A235" s="77"/>
      <c r="B235" s="76" t="s">
        <v>97</v>
      </c>
      <c r="C235" s="204" t="s">
        <v>123</v>
      </c>
      <c r="D235" s="205"/>
      <c r="E235" s="205"/>
      <c r="F235" s="77" t="s">
        <v>60</v>
      </c>
      <c r="G235" s="77" t="s">
        <v>60</v>
      </c>
      <c r="H235" s="77" t="s">
        <v>60</v>
      </c>
      <c r="I235" s="78">
        <f>SUM(I236:I250)</f>
        <v>0</v>
      </c>
      <c r="J235" s="78">
        <f>SUM(J236:J250)</f>
        <v>0</v>
      </c>
      <c r="K235" s="78">
        <f>SUM(K236:K250)</f>
        <v>0</v>
      </c>
      <c r="L235" s="78">
        <f>SUM(L236:L250)</f>
        <v>13827.248</v>
      </c>
      <c r="M235" s="93"/>
      <c r="N235" s="32"/>
      <c r="AI235" s="26" t="s">
        <v>76</v>
      </c>
      <c r="AS235" s="31">
        <f>SUM(AJ236:AJ250)</f>
        <v>0</v>
      </c>
      <c r="AT235" s="31">
        <f>SUM(AK236:AK250)</f>
        <v>0</v>
      </c>
      <c r="AU235" s="31">
        <f>SUM(AL236:AL250)</f>
        <v>0</v>
      </c>
    </row>
    <row r="236" spans="1:64" x14ac:dyDescent="0.2">
      <c r="A236" s="79" t="s">
        <v>203</v>
      </c>
      <c r="B236" s="79" t="s">
        <v>417</v>
      </c>
      <c r="C236" s="194" t="s">
        <v>685</v>
      </c>
      <c r="D236" s="195"/>
      <c r="E236" s="195"/>
      <c r="F236" s="79" t="s">
        <v>1050</v>
      </c>
      <c r="G236" s="80">
        <v>44.56</v>
      </c>
      <c r="H236" s="80">
        <v>0</v>
      </c>
      <c r="I236" s="80">
        <f>G236*AO236</f>
        <v>0</v>
      </c>
      <c r="J236" s="80">
        <f>G236*AP236</f>
        <v>0</v>
      </c>
      <c r="K236" s="80">
        <f>G236*H236</f>
        <v>0</v>
      </c>
      <c r="L236" s="80">
        <f>G236*236</f>
        <v>10516.16</v>
      </c>
      <c r="M236" s="94" t="s">
        <v>1066</v>
      </c>
      <c r="N236" s="32"/>
      <c r="Z236" s="11">
        <f>IF(AQ236="5",BJ236,0)</f>
        <v>0</v>
      </c>
      <c r="AB236" s="11">
        <f>IF(AQ236="1",BH236,0)</f>
        <v>0</v>
      </c>
      <c r="AC236" s="11">
        <f>IF(AQ236="1",BI236,0)</f>
        <v>0</v>
      </c>
      <c r="AD236" s="11">
        <f>IF(AQ236="7",BH236,0)</f>
        <v>0</v>
      </c>
      <c r="AE236" s="11">
        <f>IF(AQ236="7",BI236,0)</f>
        <v>0</v>
      </c>
      <c r="AF236" s="11">
        <f>IF(AQ236="2",BH236,0)</f>
        <v>0</v>
      </c>
      <c r="AG236" s="11">
        <f>IF(AQ236="2",BI236,0)</f>
        <v>0</v>
      </c>
      <c r="AH236" s="11">
        <f>IF(AQ236="0",BJ236,0)</f>
        <v>0</v>
      </c>
      <c r="AI236" s="26" t="s">
        <v>76</v>
      </c>
      <c r="AJ236" s="20">
        <f>IF(AN236=0,K236,0)</f>
        <v>0</v>
      </c>
      <c r="AK236" s="20">
        <f>IF(AN236=15,K236,0)</f>
        <v>0</v>
      </c>
      <c r="AL236" s="20">
        <f>IF(AN236=21,K236,0)</f>
        <v>0</v>
      </c>
      <c r="AN236" s="11">
        <v>21</v>
      </c>
      <c r="AO236" s="11">
        <f>H236*0</f>
        <v>0</v>
      </c>
      <c r="AP236" s="11">
        <f>H236*(1-0)</f>
        <v>0</v>
      </c>
      <c r="AQ236" s="27" t="s">
        <v>138</v>
      </c>
      <c r="AV236" s="11">
        <f>AW236+AX236</f>
        <v>0</v>
      </c>
      <c r="AW236" s="11">
        <f>G236*AO236</f>
        <v>0</v>
      </c>
      <c r="AX236" s="11">
        <f>G236*AP236</f>
        <v>0</v>
      </c>
      <c r="AY236" s="29" t="s">
        <v>1090</v>
      </c>
      <c r="AZ236" s="29" t="s">
        <v>1109</v>
      </c>
      <c r="BA236" s="26" t="s">
        <v>1128</v>
      </c>
      <c r="BB236" s="26" t="s">
        <v>1147</v>
      </c>
      <c r="BC236" s="11">
        <f>AW236+AX236</f>
        <v>0</v>
      </c>
      <c r="BD236" s="11">
        <f>H236/(100-BE236)*100</f>
        <v>0</v>
      </c>
      <c r="BE236" s="11">
        <v>0</v>
      </c>
      <c r="BF236" s="11">
        <f>L236</f>
        <v>10516.16</v>
      </c>
      <c r="BH236" s="20">
        <f>G236*AO236</f>
        <v>0</v>
      </c>
      <c r="BI236" s="20">
        <f>G236*AP236</f>
        <v>0</v>
      </c>
      <c r="BJ236" s="20">
        <f>G236*H236</f>
        <v>0</v>
      </c>
      <c r="BK236" s="20" t="s">
        <v>1164</v>
      </c>
      <c r="BL236" s="11">
        <v>97</v>
      </c>
    </row>
    <row r="237" spans="1:64" x14ac:dyDescent="0.2">
      <c r="A237" s="35"/>
      <c r="B237" s="36"/>
      <c r="C237" s="81" t="s">
        <v>686</v>
      </c>
      <c r="D237" s="36"/>
      <c r="E237" s="82" t="s">
        <v>908</v>
      </c>
      <c r="F237" s="36"/>
      <c r="G237" s="83">
        <v>19.2</v>
      </c>
      <c r="H237" s="36"/>
      <c r="I237" s="36"/>
      <c r="J237" s="36"/>
      <c r="K237" s="36"/>
      <c r="L237" s="36"/>
      <c r="M237" s="35"/>
      <c r="N237" s="32"/>
    </row>
    <row r="238" spans="1:64" x14ac:dyDescent="0.2">
      <c r="A238" s="35"/>
      <c r="B238" s="36"/>
      <c r="C238" s="81" t="s">
        <v>687</v>
      </c>
      <c r="D238" s="36"/>
      <c r="E238" s="82" t="s">
        <v>948</v>
      </c>
      <c r="F238" s="36"/>
      <c r="G238" s="83">
        <v>-1.8</v>
      </c>
      <c r="H238" s="36"/>
      <c r="I238" s="36"/>
      <c r="J238" s="36"/>
      <c r="K238" s="36"/>
      <c r="L238" s="36"/>
      <c r="M238" s="35"/>
      <c r="N238" s="32"/>
    </row>
    <row r="239" spans="1:64" x14ac:dyDescent="0.2">
      <c r="A239" s="35"/>
      <c r="B239" s="36"/>
      <c r="C239" s="81" t="s">
        <v>688</v>
      </c>
      <c r="D239" s="36"/>
      <c r="E239" s="82" t="s">
        <v>978</v>
      </c>
      <c r="F239" s="36"/>
      <c r="G239" s="83">
        <v>22.36</v>
      </c>
      <c r="H239" s="36"/>
      <c r="I239" s="36"/>
      <c r="J239" s="36"/>
      <c r="K239" s="36"/>
      <c r="L239" s="36"/>
      <c r="M239" s="35"/>
      <c r="N239" s="32"/>
    </row>
    <row r="240" spans="1:64" x14ac:dyDescent="0.2">
      <c r="A240" s="35"/>
      <c r="B240" s="36"/>
      <c r="C240" s="81" t="s">
        <v>689</v>
      </c>
      <c r="D240" s="36"/>
      <c r="E240" s="82" t="s">
        <v>979</v>
      </c>
      <c r="F240" s="36"/>
      <c r="G240" s="83">
        <v>9.6</v>
      </c>
      <c r="H240" s="36"/>
      <c r="I240" s="36"/>
      <c r="J240" s="36"/>
      <c r="K240" s="36"/>
      <c r="L240" s="36"/>
      <c r="M240" s="35"/>
      <c r="N240" s="32"/>
    </row>
    <row r="241" spans="1:64" x14ac:dyDescent="0.2">
      <c r="A241" s="35"/>
      <c r="B241" s="36"/>
      <c r="C241" s="81" t="s">
        <v>690</v>
      </c>
      <c r="D241" s="36"/>
      <c r="E241" s="82" t="s">
        <v>948</v>
      </c>
      <c r="F241" s="36"/>
      <c r="G241" s="83">
        <v>-4.8</v>
      </c>
      <c r="H241" s="36"/>
      <c r="I241" s="36"/>
      <c r="J241" s="36"/>
      <c r="K241" s="36"/>
      <c r="L241" s="36"/>
      <c r="M241" s="35"/>
      <c r="N241" s="32"/>
    </row>
    <row r="242" spans="1:64" x14ac:dyDescent="0.2">
      <c r="A242" s="79" t="s">
        <v>204</v>
      </c>
      <c r="B242" s="79" t="s">
        <v>418</v>
      </c>
      <c r="C242" s="194" t="s">
        <v>691</v>
      </c>
      <c r="D242" s="195"/>
      <c r="E242" s="195"/>
      <c r="F242" s="79" t="s">
        <v>1051</v>
      </c>
      <c r="G242" s="80">
        <v>5</v>
      </c>
      <c r="H242" s="80">
        <v>0</v>
      </c>
      <c r="I242" s="80">
        <f>G242*AO242</f>
        <v>0</v>
      </c>
      <c r="J242" s="80">
        <f>G242*AP242</f>
        <v>0</v>
      </c>
      <c r="K242" s="80">
        <f>G242*H242</f>
        <v>0</v>
      </c>
      <c r="L242" s="80">
        <f>G242*242</f>
        <v>1210</v>
      </c>
      <c r="M242" s="94" t="s">
        <v>1067</v>
      </c>
      <c r="N242" s="32"/>
      <c r="Z242" s="11">
        <f>IF(AQ242="5",BJ242,0)</f>
        <v>0</v>
      </c>
      <c r="AB242" s="11">
        <f>IF(AQ242="1",BH242,0)</f>
        <v>0</v>
      </c>
      <c r="AC242" s="11">
        <f>IF(AQ242="1",BI242,0)</f>
        <v>0</v>
      </c>
      <c r="AD242" s="11">
        <f>IF(AQ242="7",BH242,0)</f>
        <v>0</v>
      </c>
      <c r="AE242" s="11">
        <f>IF(AQ242="7",BI242,0)</f>
        <v>0</v>
      </c>
      <c r="AF242" s="11">
        <f>IF(AQ242="2",BH242,0)</f>
        <v>0</v>
      </c>
      <c r="AG242" s="11">
        <f>IF(AQ242="2",BI242,0)</f>
        <v>0</v>
      </c>
      <c r="AH242" s="11">
        <f>IF(AQ242="0",BJ242,0)</f>
        <v>0</v>
      </c>
      <c r="AI242" s="26" t="s">
        <v>76</v>
      </c>
      <c r="AJ242" s="20">
        <f>IF(AN242=0,K242,0)</f>
        <v>0</v>
      </c>
      <c r="AK242" s="20">
        <f>IF(AN242=15,K242,0)</f>
        <v>0</v>
      </c>
      <c r="AL242" s="20">
        <f>IF(AN242=21,K242,0)</f>
        <v>0</v>
      </c>
      <c r="AN242" s="11">
        <v>21</v>
      </c>
      <c r="AO242" s="11">
        <f>H242*0</f>
        <v>0</v>
      </c>
      <c r="AP242" s="11">
        <f>H242*(1-0)</f>
        <v>0</v>
      </c>
      <c r="AQ242" s="27" t="s">
        <v>138</v>
      </c>
      <c r="AV242" s="11">
        <f>AW242+AX242</f>
        <v>0</v>
      </c>
      <c r="AW242" s="11">
        <f>G242*AO242</f>
        <v>0</v>
      </c>
      <c r="AX242" s="11">
        <f>G242*AP242</f>
        <v>0</v>
      </c>
      <c r="AY242" s="29" t="s">
        <v>1090</v>
      </c>
      <c r="AZ242" s="29" t="s">
        <v>1109</v>
      </c>
      <c r="BA242" s="26" t="s">
        <v>1128</v>
      </c>
      <c r="BB242" s="26" t="s">
        <v>1147</v>
      </c>
      <c r="BC242" s="11">
        <f>AW242+AX242</f>
        <v>0</v>
      </c>
      <c r="BD242" s="11">
        <f>H242/(100-BE242)*100</f>
        <v>0</v>
      </c>
      <c r="BE242" s="11">
        <v>0</v>
      </c>
      <c r="BF242" s="11">
        <f>L242</f>
        <v>1210</v>
      </c>
      <c r="BH242" s="20">
        <f>G242*AO242</f>
        <v>0</v>
      </c>
      <c r="BI242" s="20">
        <f>G242*AP242</f>
        <v>0</v>
      </c>
      <c r="BJ242" s="20">
        <f>G242*H242</f>
        <v>0</v>
      </c>
      <c r="BK242" s="20" t="s">
        <v>1164</v>
      </c>
      <c r="BL242" s="11">
        <v>97</v>
      </c>
    </row>
    <row r="243" spans="1:64" x14ac:dyDescent="0.2">
      <c r="A243" s="35"/>
      <c r="B243" s="36"/>
      <c r="C243" s="81" t="s">
        <v>692</v>
      </c>
      <c r="D243" s="36"/>
      <c r="E243" s="82"/>
      <c r="F243" s="36"/>
      <c r="G243" s="83">
        <v>5</v>
      </c>
      <c r="H243" s="36"/>
      <c r="I243" s="36"/>
      <c r="J243" s="36"/>
      <c r="K243" s="36"/>
      <c r="L243" s="36"/>
      <c r="M243" s="35"/>
      <c r="N243" s="32"/>
    </row>
    <row r="244" spans="1:64" x14ac:dyDescent="0.2">
      <c r="A244" s="79" t="s">
        <v>205</v>
      </c>
      <c r="B244" s="79" t="s">
        <v>419</v>
      </c>
      <c r="C244" s="194" t="s">
        <v>693</v>
      </c>
      <c r="D244" s="195"/>
      <c r="E244" s="195"/>
      <c r="F244" s="79" t="s">
        <v>1049</v>
      </c>
      <c r="G244" s="80">
        <v>1.881</v>
      </c>
      <c r="H244" s="80">
        <v>0</v>
      </c>
      <c r="I244" s="80">
        <f>G244*AO244</f>
        <v>0</v>
      </c>
      <c r="J244" s="80">
        <f>G244*AP244</f>
        <v>0</v>
      </c>
      <c r="K244" s="80">
        <f>G244*H244</f>
        <v>0</v>
      </c>
      <c r="L244" s="80">
        <f>G244*244</f>
        <v>458.964</v>
      </c>
      <c r="M244" s="94" t="s">
        <v>1066</v>
      </c>
      <c r="N244" s="32"/>
      <c r="Z244" s="11">
        <f>IF(AQ244="5",BJ244,0)</f>
        <v>0</v>
      </c>
      <c r="AB244" s="11">
        <f>IF(AQ244="1",BH244,0)</f>
        <v>0</v>
      </c>
      <c r="AC244" s="11">
        <f>IF(AQ244="1",BI244,0)</f>
        <v>0</v>
      </c>
      <c r="AD244" s="11">
        <f>IF(AQ244="7",BH244,0)</f>
        <v>0</v>
      </c>
      <c r="AE244" s="11">
        <f>IF(AQ244="7",BI244,0)</f>
        <v>0</v>
      </c>
      <c r="AF244" s="11">
        <f>IF(AQ244="2",BH244,0)</f>
        <v>0</v>
      </c>
      <c r="AG244" s="11">
        <f>IF(AQ244="2",BI244,0)</f>
        <v>0</v>
      </c>
      <c r="AH244" s="11">
        <f>IF(AQ244="0",BJ244,0)</f>
        <v>0</v>
      </c>
      <c r="AI244" s="26" t="s">
        <v>76</v>
      </c>
      <c r="AJ244" s="20">
        <f>IF(AN244=0,K244,0)</f>
        <v>0</v>
      </c>
      <c r="AK244" s="20">
        <f>IF(AN244=15,K244,0)</f>
        <v>0</v>
      </c>
      <c r="AL244" s="20">
        <f>IF(AN244=21,K244,0)</f>
        <v>0</v>
      </c>
      <c r="AN244" s="11">
        <v>21</v>
      </c>
      <c r="AO244" s="11">
        <f>H244*0.0334232833739979</f>
        <v>0</v>
      </c>
      <c r="AP244" s="11">
        <f>H244*(1-0.0334232833739979)</f>
        <v>0</v>
      </c>
      <c r="AQ244" s="27" t="s">
        <v>138</v>
      </c>
      <c r="AV244" s="11">
        <f>AW244+AX244</f>
        <v>0</v>
      </c>
      <c r="AW244" s="11">
        <f>G244*AO244</f>
        <v>0</v>
      </c>
      <c r="AX244" s="11">
        <f>G244*AP244</f>
        <v>0</v>
      </c>
      <c r="AY244" s="29" t="s">
        <v>1090</v>
      </c>
      <c r="AZ244" s="29" t="s">
        <v>1109</v>
      </c>
      <c r="BA244" s="26" t="s">
        <v>1128</v>
      </c>
      <c r="BB244" s="26" t="s">
        <v>1147</v>
      </c>
      <c r="BC244" s="11">
        <f>AW244+AX244</f>
        <v>0</v>
      </c>
      <c r="BD244" s="11">
        <f>H244/(100-BE244)*100</f>
        <v>0</v>
      </c>
      <c r="BE244" s="11">
        <v>0</v>
      </c>
      <c r="BF244" s="11">
        <f>L244</f>
        <v>458.964</v>
      </c>
      <c r="BH244" s="20">
        <f>G244*AO244</f>
        <v>0</v>
      </c>
      <c r="BI244" s="20">
        <f>G244*AP244</f>
        <v>0</v>
      </c>
      <c r="BJ244" s="20">
        <f>G244*H244</f>
        <v>0</v>
      </c>
      <c r="BK244" s="20" t="s">
        <v>1164</v>
      </c>
      <c r="BL244" s="11">
        <v>97</v>
      </c>
    </row>
    <row r="245" spans="1:64" x14ac:dyDescent="0.2">
      <c r="A245" s="35"/>
      <c r="B245" s="36"/>
      <c r="C245" s="81" t="s">
        <v>694</v>
      </c>
      <c r="D245" s="36"/>
      <c r="E245" s="82" t="s">
        <v>980</v>
      </c>
      <c r="F245" s="36"/>
      <c r="G245" s="83">
        <v>1.881</v>
      </c>
      <c r="H245" s="36"/>
      <c r="I245" s="36"/>
      <c r="J245" s="36"/>
      <c r="K245" s="36"/>
      <c r="L245" s="36"/>
      <c r="M245" s="35"/>
      <c r="N245" s="32"/>
    </row>
    <row r="246" spans="1:64" x14ac:dyDescent="0.2">
      <c r="A246" s="79" t="s">
        <v>206</v>
      </c>
      <c r="B246" s="79" t="s">
        <v>420</v>
      </c>
      <c r="C246" s="194" t="s">
        <v>695</v>
      </c>
      <c r="D246" s="195"/>
      <c r="E246" s="195"/>
      <c r="F246" s="79" t="s">
        <v>1049</v>
      </c>
      <c r="G246" s="80">
        <v>0.59399999999999997</v>
      </c>
      <c r="H246" s="80">
        <v>0</v>
      </c>
      <c r="I246" s="80">
        <f>G246*AO246</f>
        <v>0</v>
      </c>
      <c r="J246" s="80">
        <f>G246*AP246</f>
        <v>0</v>
      </c>
      <c r="K246" s="80">
        <f>G246*H246</f>
        <v>0</v>
      </c>
      <c r="L246" s="80">
        <f>G246*246</f>
        <v>146.124</v>
      </c>
      <c r="M246" s="94" t="s">
        <v>1066</v>
      </c>
      <c r="N246" s="32"/>
      <c r="Z246" s="11">
        <f>IF(AQ246="5",BJ246,0)</f>
        <v>0</v>
      </c>
      <c r="AB246" s="11">
        <f>IF(AQ246="1",BH246,0)</f>
        <v>0</v>
      </c>
      <c r="AC246" s="11">
        <f>IF(AQ246="1",BI246,0)</f>
        <v>0</v>
      </c>
      <c r="AD246" s="11">
        <f>IF(AQ246="7",BH246,0)</f>
        <v>0</v>
      </c>
      <c r="AE246" s="11">
        <f>IF(AQ246="7",BI246,0)</f>
        <v>0</v>
      </c>
      <c r="AF246" s="11">
        <f>IF(AQ246="2",BH246,0)</f>
        <v>0</v>
      </c>
      <c r="AG246" s="11">
        <f>IF(AQ246="2",BI246,0)</f>
        <v>0</v>
      </c>
      <c r="AH246" s="11">
        <f>IF(AQ246="0",BJ246,0)</f>
        <v>0</v>
      </c>
      <c r="AI246" s="26" t="s">
        <v>76</v>
      </c>
      <c r="AJ246" s="20">
        <f>IF(AN246=0,K246,0)</f>
        <v>0</v>
      </c>
      <c r="AK246" s="20">
        <f>IF(AN246=15,K246,0)</f>
        <v>0</v>
      </c>
      <c r="AL246" s="20">
        <f>IF(AN246=21,K246,0)</f>
        <v>0</v>
      </c>
      <c r="AN246" s="11">
        <v>21</v>
      </c>
      <c r="AO246" s="11">
        <f>H246*0.0375421457188719</f>
        <v>0</v>
      </c>
      <c r="AP246" s="11">
        <f>H246*(1-0.0375421457188719)</f>
        <v>0</v>
      </c>
      <c r="AQ246" s="27" t="s">
        <v>138</v>
      </c>
      <c r="AV246" s="11">
        <f>AW246+AX246</f>
        <v>0</v>
      </c>
      <c r="AW246" s="11">
        <f>G246*AO246</f>
        <v>0</v>
      </c>
      <c r="AX246" s="11">
        <f>G246*AP246</f>
        <v>0</v>
      </c>
      <c r="AY246" s="29" t="s">
        <v>1090</v>
      </c>
      <c r="AZ246" s="29" t="s">
        <v>1109</v>
      </c>
      <c r="BA246" s="26" t="s">
        <v>1128</v>
      </c>
      <c r="BB246" s="26" t="s">
        <v>1147</v>
      </c>
      <c r="BC246" s="11">
        <f>AW246+AX246</f>
        <v>0</v>
      </c>
      <c r="BD246" s="11">
        <f>H246/(100-BE246)*100</f>
        <v>0</v>
      </c>
      <c r="BE246" s="11">
        <v>0</v>
      </c>
      <c r="BF246" s="11">
        <f>L246</f>
        <v>146.124</v>
      </c>
      <c r="BH246" s="20">
        <f>G246*AO246</f>
        <v>0</v>
      </c>
      <c r="BI246" s="20">
        <f>G246*AP246</f>
        <v>0</v>
      </c>
      <c r="BJ246" s="20">
        <f>G246*H246</f>
        <v>0</v>
      </c>
      <c r="BK246" s="20" t="s">
        <v>1164</v>
      </c>
      <c r="BL246" s="11">
        <v>97</v>
      </c>
    </row>
    <row r="247" spans="1:64" x14ac:dyDescent="0.2">
      <c r="A247" s="35"/>
      <c r="B247" s="36"/>
      <c r="C247" s="81" t="s">
        <v>696</v>
      </c>
      <c r="D247" s="36"/>
      <c r="E247" s="82" t="s">
        <v>981</v>
      </c>
      <c r="F247" s="36"/>
      <c r="G247" s="83">
        <v>0.59399999999999997</v>
      </c>
      <c r="H247" s="36"/>
      <c r="I247" s="36"/>
      <c r="J247" s="36"/>
      <c r="K247" s="36"/>
      <c r="L247" s="36"/>
      <c r="M247" s="35"/>
      <c r="N247" s="32"/>
    </row>
    <row r="248" spans="1:64" x14ac:dyDescent="0.2">
      <c r="A248" s="79" t="s">
        <v>207</v>
      </c>
      <c r="B248" s="79" t="s">
        <v>421</v>
      </c>
      <c r="C248" s="194" t="s">
        <v>697</v>
      </c>
      <c r="D248" s="195"/>
      <c r="E248" s="195"/>
      <c r="F248" s="79" t="s">
        <v>1047</v>
      </c>
      <c r="G248" s="80">
        <v>2</v>
      </c>
      <c r="H248" s="80">
        <v>0</v>
      </c>
      <c r="I248" s="80">
        <f>G248*AO248</f>
        <v>0</v>
      </c>
      <c r="J248" s="80">
        <f>G248*AP248</f>
        <v>0</v>
      </c>
      <c r="K248" s="80">
        <f>G248*H248</f>
        <v>0</v>
      </c>
      <c r="L248" s="80">
        <f>G248*248</f>
        <v>496</v>
      </c>
      <c r="M248" s="94" t="s">
        <v>1066</v>
      </c>
      <c r="N248" s="32"/>
      <c r="Z248" s="11">
        <f>IF(AQ248="5",BJ248,0)</f>
        <v>0</v>
      </c>
      <c r="AB248" s="11">
        <f>IF(AQ248="1",BH248,0)</f>
        <v>0</v>
      </c>
      <c r="AC248" s="11">
        <f>IF(AQ248="1",BI248,0)</f>
        <v>0</v>
      </c>
      <c r="AD248" s="11">
        <f>IF(AQ248="7",BH248,0)</f>
        <v>0</v>
      </c>
      <c r="AE248" s="11">
        <f>IF(AQ248="7",BI248,0)</f>
        <v>0</v>
      </c>
      <c r="AF248" s="11">
        <f>IF(AQ248="2",BH248,0)</f>
        <v>0</v>
      </c>
      <c r="AG248" s="11">
        <f>IF(AQ248="2",BI248,0)</f>
        <v>0</v>
      </c>
      <c r="AH248" s="11">
        <f>IF(AQ248="0",BJ248,0)</f>
        <v>0</v>
      </c>
      <c r="AI248" s="26" t="s">
        <v>76</v>
      </c>
      <c r="AJ248" s="20">
        <f>IF(AN248=0,K248,0)</f>
        <v>0</v>
      </c>
      <c r="AK248" s="20">
        <f>IF(AN248=15,K248,0)</f>
        <v>0</v>
      </c>
      <c r="AL248" s="20">
        <f>IF(AN248=21,K248,0)</f>
        <v>0</v>
      </c>
      <c r="AN248" s="11">
        <v>21</v>
      </c>
      <c r="AO248" s="11">
        <f>H248*0.0540965207631874</f>
        <v>0</v>
      </c>
      <c r="AP248" s="11">
        <f>H248*(1-0.0540965207631874)</f>
        <v>0</v>
      </c>
      <c r="AQ248" s="27" t="s">
        <v>138</v>
      </c>
      <c r="AV248" s="11">
        <f>AW248+AX248</f>
        <v>0</v>
      </c>
      <c r="AW248" s="11">
        <f>G248*AO248</f>
        <v>0</v>
      </c>
      <c r="AX248" s="11">
        <f>G248*AP248</f>
        <v>0</v>
      </c>
      <c r="AY248" s="29" t="s">
        <v>1090</v>
      </c>
      <c r="AZ248" s="29" t="s">
        <v>1109</v>
      </c>
      <c r="BA248" s="26" t="s">
        <v>1128</v>
      </c>
      <c r="BB248" s="26" t="s">
        <v>1147</v>
      </c>
      <c r="BC248" s="11">
        <f>AW248+AX248</f>
        <v>0</v>
      </c>
      <c r="BD248" s="11">
        <f>H248/(100-BE248)*100</f>
        <v>0</v>
      </c>
      <c r="BE248" s="11">
        <v>0</v>
      </c>
      <c r="BF248" s="11">
        <f>L248</f>
        <v>496</v>
      </c>
      <c r="BH248" s="20">
        <f>G248*AO248</f>
        <v>0</v>
      </c>
      <c r="BI248" s="20">
        <f>G248*AP248</f>
        <v>0</v>
      </c>
      <c r="BJ248" s="20">
        <f>G248*H248</f>
        <v>0</v>
      </c>
      <c r="BK248" s="20" t="s">
        <v>1164</v>
      </c>
      <c r="BL248" s="11">
        <v>97</v>
      </c>
    </row>
    <row r="249" spans="1:64" x14ac:dyDescent="0.2">
      <c r="A249" s="35"/>
      <c r="B249" s="36"/>
      <c r="C249" s="81" t="s">
        <v>139</v>
      </c>
      <c r="D249" s="36"/>
      <c r="E249" s="82" t="s">
        <v>982</v>
      </c>
      <c r="F249" s="36"/>
      <c r="G249" s="83">
        <v>2</v>
      </c>
      <c r="H249" s="36"/>
      <c r="I249" s="36"/>
      <c r="J249" s="36"/>
      <c r="K249" s="36"/>
      <c r="L249" s="36"/>
      <c r="M249" s="35"/>
      <c r="N249" s="32"/>
    </row>
    <row r="250" spans="1:64" x14ac:dyDescent="0.2">
      <c r="A250" s="79" t="s">
        <v>208</v>
      </c>
      <c r="B250" s="79" t="s">
        <v>422</v>
      </c>
      <c r="C250" s="194" t="s">
        <v>698</v>
      </c>
      <c r="D250" s="195"/>
      <c r="E250" s="195"/>
      <c r="F250" s="79" t="s">
        <v>1047</v>
      </c>
      <c r="G250" s="80">
        <v>4</v>
      </c>
      <c r="H250" s="80">
        <v>0</v>
      </c>
      <c r="I250" s="80">
        <f>G250*AO250</f>
        <v>0</v>
      </c>
      <c r="J250" s="80">
        <f>G250*AP250</f>
        <v>0</v>
      </c>
      <c r="K250" s="80">
        <f>G250*H250</f>
        <v>0</v>
      </c>
      <c r="L250" s="80">
        <f>G250*250</f>
        <v>1000</v>
      </c>
      <c r="M250" s="94" t="s">
        <v>1066</v>
      </c>
      <c r="N250" s="32"/>
      <c r="Z250" s="11">
        <f>IF(AQ250="5",BJ250,0)</f>
        <v>0</v>
      </c>
      <c r="AB250" s="11">
        <f>IF(AQ250="1",BH250,0)</f>
        <v>0</v>
      </c>
      <c r="AC250" s="11">
        <f>IF(AQ250="1",BI250,0)</f>
        <v>0</v>
      </c>
      <c r="AD250" s="11">
        <f>IF(AQ250="7",BH250,0)</f>
        <v>0</v>
      </c>
      <c r="AE250" s="11">
        <f>IF(AQ250="7",BI250,0)</f>
        <v>0</v>
      </c>
      <c r="AF250" s="11">
        <f>IF(AQ250="2",BH250,0)</f>
        <v>0</v>
      </c>
      <c r="AG250" s="11">
        <f>IF(AQ250="2",BI250,0)</f>
        <v>0</v>
      </c>
      <c r="AH250" s="11">
        <f>IF(AQ250="0",BJ250,0)</f>
        <v>0</v>
      </c>
      <c r="AI250" s="26" t="s">
        <v>76</v>
      </c>
      <c r="AJ250" s="20">
        <f>IF(AN250=0,K250,0)</f>
        <v>0</v>
      </c>
      <c r="AK250" s="20">
        <f>IF(AN250=15,K250,0)</f>
        <v>0</v>
      </c>
      <c r="AL250" s="20">
        <f>IF(AN250=21,K250,0)</f>
        <v>0</v>
      </c>
      <c r="AN250" s="11">
        <v>21</v>
      </c>
      <c r="AO250" s="11">
        <f>H250*0.0458166194559039</f>
        <v>0</v>
      </c>
      <c r="AP250" s="11">
        <f>H250*(1-0.0458166194559039)</f>
        <v>0</v>
      </c>
      <c r="AQ250" s="27" t="s">
        <v>138</v>
      </c>
      <c r="AV250" s="11">
        <f>AW250+AX250</f>
        <v>0</v>
      </c>
      <c r="AW250" s="11">
        <f>G250*AO250</f>
        <v>0</v>
      </c>
      <c r="AX250" s="11">
        <f>G250*AP250</f>
        <v>0</v>
      </c>
      <c r="AY250" s="29" t="s">
        <v>1090</v>
      </c>
      <c r="AZ250" s="29" t="s">
        <v>1109</v>
      </c>
      <c r="BA250" s="26" t="s">
        <v>1128</v>
      </c>
      <c r="BB250" s="26" t="s">
        <v>1147</v>
      </c>
      <c r="BC250" s="11">
        <f>AW250+AX250</f>
        <v>0</v>
      </c>
      <c r="BD250" s="11">
        <f>H250/(100-BE250)*100</f>
        <v>0</v>
      </c>
      <c r="BE250" s="11">
        <v>0</v>
      </c>
      <c r="BF250" s="11">
        <f>L250</f>
        <v>1000</v>
      </c>
      <c r="BH250" s="20">
        <f>G250*AO250</f>
        <v>0</v>
      </c>
      <c r="BI250" s="20">
        <f>G250*AP250</f>
        <v>0</v>
      </c>
      <c r="BJ250" s="20">
        <f>G250*H250</f>
        <v>0</v>
      </c>
      <c r="BK250" s="20" t="s">
        <v>1164</v>
      </c>
      <c r="BL250" s="11">
        <v>97</v>
      </c>
    </row>
    <row r="251" spans="1:64" x14ac:dyDescent="0.2">
      <c r="A251" s="35"/>
      <c r="B251" s="36"/>
      <c r="C251" s="81" t="s">
        <v>533</v>
      </c>
      <c r="D251" s="36"/>
      <c r="E251" s="82" t="s">
        <v>982</v>
      </c>
      <c r="F251" s="36"/>
      <c r="G251" s="83">
        <v>4</v>
      </c>
      <c r="H251" s="36"/>
      <c r="I251" s="36"/>
      <c r="J251" s="36"/>
      <c r="K251" s="36"/>
      <c r="L251" s="36"/>
      <c r="M251" s="35"/>
      <c r="N251" s="32"/>
    </row>
    <row r="252" spans="1:64" x14ac:dyDescent="0.2">
      <c r="A252" s="77"/>
      <c r="B252" s="76" t="s">
        <v>98</v>
      </c>
      <c r="C252" s="204" t="s">
        <v>124</v>
      </c>
      <c r="D252" s="205"/>
      <c r="E252" s="205"/>
      <c r="F252" s="77" t="s">
        <v>60</v>
      </c>
      <c r="G252" s="77" t="s">
        <v>60</v>
      </c>
      <c r="H252" s="77" t="s">
        <v>60</v>
      </c>
      <c r="I252" s="78">
        <f>SUM(I253:I270)</f>
        <v>0</v>
      </c>
      <c r="J252" s="78">
        <f>SUM(J253:J270)</f>
        <v>0</v>
      </c>
      <c r="K252" s="78">
        <f>SUM(K253:K270)</f>
        <v>0</v>
      </c>
      <c r="L252" s="78">
        <f>SUM(L253:L270)</f>
        <v>66972.248500000002</v>
      </c>
      <c r="M252" s="93"/>
      <c r="N252" s="32"/>
      <c r="AI252" s="26" t="s">
        <v>76</v>
      </c>
      <c r="AS252" s="31">
        <f>SUM(AJ253:AJ270)</f>
        <v>0</v>
      </c>
      <c r="AT252" s="31">
        <f>SUM(AK253:AK270)</f>
        <v>0</v>
      </c>
      <c r="AU252" s="31">
        <f>SUM(AL253:AL270)</f>
        <v>0</v>
      </c>
    </row>
    <row r="253" spans="1:64" x14ac:dyDescent="0.2">
      <c r="A253" s="79" t="s">
        <v>209</v>
      </c>
      <c r="B253" s="79" t="s">
        <v>423</v>
      </c>
      <c r="C253" s="194" t="s">
        <v>699</v>
      </c>
      <c r="D253" s="195"/>
      <c r="E253" s="195"/>
      <c r="F253" s="79" t="s">
        <v>1048</v>
      </c>
      <c r="G253" s="80">
        <v>18.2239</v>
      </c>
      <c r="H253" s="80">
        <v>0</v>
      </c>
      <c r="I253" s="80">
        <f>G253*AO253</f>
        <v>0</v>
      </c>
      <c r="J253" s="80">
        <f>G253*AP253</f>
        <v>0</v>
      </c>
      <c r="K253" s="80">
        <f>G253*H253</f>
        <v>0</v>
      </c>
      <c r="L253" s="80">
        <f>G253*253</f>
        <v>4610.6467000000002</v>
      </c>
      <c r="M253" s="94" t="s">
        <v>1066</v>
      </c>
      <c r="N253" s="32"/>
      <c r="Z253" s="11">
        <f>IF(AQ253="5",BJ253,0)</f>
        <v>0</v>
      </c>
      <c r="AB253" s="11">
        <f>IF(AQ253="1",BH253,0)</f>
        <v>0</v>
      </c>
      <c r="AC253" s="11">
        <f>IF(AQ253="1",BI253,0)</f>
        <v>0</v>
      </c>
      <c r="AD253" s="11">
        <f>IF(AQ253="7",BH253,0)</f>
        <v>0</v>
      </c>
      <c r="AE253" s="11">
        <f>IF(AQ253="7",BI253,0)</f>
        <v>0</v>
      </c>
      <c r="AF253" s="11">
        <f>IF(AQ253="2",BH253,0)</f>
        <v>0</v>
      </c>
      <c r="AG253" s="11">
        <f>IF(AQ253="2",BI253,0)</f>
        <v>0</v>
      </c>
      <c r="AH253" s="11">
        <f>IF(AQ253="0",BJ253,0)</f>
        <v>0</v>
      </c>
      <c r="AI253" s="26" t="s">
        <v>76</v>
      </c>
      <c r="AJ253" s="20">
        <f>IF(AN253=0,K253,0)</f>
        <v>0</v>
      </c>
      <c r="AK253" s="20">
        <f>IF(AN253=15,K253,0)</f>
        <v>0</v>
      </c>
      <c r="AL253" s="20">
        <f>IF(AN253=21,K253,0)</f>
        <v>0</v>
      </c>
      <c r="AN253" s="11">
        <v>21</v>
      </c>
      <c r="AO253" s="11">
        <f>H253*0</f>
        <v>0</v>
      </c>
      <c r="AP253" s="11">
        <f>H253*(1-0)</f>
        <v>0</v>
      </c>
      <c r="AQ253" s="27" t="s">
        <v>142</v>
      </c>
      <c r="AV253" s="11">
        <f>AW253+AX253</f>
        <v>0</v>
      </c>
      <c r="AW253" s="11">
        <f>G253*AO253</f>
        <v>0</v>
      </c>
      <c r="AX253" s="11">
        <f>G253*AP253</f>
        <v>0</v>
      </c>
      <c r="AY253" s="29" t="s">
        <v>1091</v>
      </c>
      <c r="AZ253" s="29" t="s">
        <v>1109</v>
      </c>
      <c r="BA253" s="26" t="s">
        <v>1128</v>
      </c>
      <c r="BB253" s="26" t="s">
        <v>1148</v>
      </c>
      <c r="BC253" s="11">
        <f>AW253+AX253</f>
        <v>0</v>
      </c>
      <c r="BD253" s="11">
        <f>H253/(100-BE253)*100</f>
        <v>0</v>
      </c>
      <c r="BE253" s="11">
        <v>0</v>
      </c>
      <c r="BF253" s="11">
        <f>L253</f>
        <v>4610.6467000000002</v>
      </c>
      <c r="BH253" s="20">
        <f>G253*AO253</f>
        <v>0</v>
      </c>
      <c r="BI253" s="20">
        <f>G253*AP253</f>
        <v>0</v>
      </c>
      <c r="BJ253" s="20">
        <f>G253*H253</f>
        <v>0</v>
      </c>
      <c r="BK253" s="20" t="s">
        <v>1164</v>
      </c>
      <c r="BL253" s="11" t="s">
        <v>98</v>
      </c>
    </row>
    <row r="254" spans="1:64" x14ac:dyDescent="0.2">
      <c r="A254" s="35"/>
      <c r="B254" s="36"/>
      <c r="C254" s="81" t="s">
        <v>700</v>
      </c>
      <c r="D254" s="36"/>
      <c r="E254" s="82" t="s">
        <v>983</v>
      </c>
      <c r="F254" s="36"/>
      <c r="G254" s="83">
        <v>8.3849999999999998</v>
      </c>
      <c r="H254" s="36"/>
      <c r="I254" s="36"/>
      <c r="J254" s="36"/>
      <c r="K254" s="36"/>
      <c r="L254" s="36"/>
      <c r="M254" s="35"/>
      <c r="N254" s="32"/>
    </row>
    <row r="255" spans="1:64" x14ac:dyDescent="0.2">
      <c r="A255" s="35"/>
      <c r="B255" s="36"/>
      <c r="C255" s="81" t="s">
        <v>701</v>
      </c>
      <c r="D255" s="36"/>
      <c r="E255" s="82" t="s">
        <v>984</v>
      </c>
      <c r="F255" s="36"/>
      <c r="G255" s="83">
        <v>9.0178999999999991</v>
      </c>
      <c r="H255" s="36"/>
      <c r="I255" s="36"/>
      <c r="J255" s="36"/>
      <c r="K255" s="36"/>
      <c r="L255" s="36"/>
      <c r="M255" s="35"/>
      <c r="N255" s="32"/>
    </row>
    <row r="256" spans="1:64" x14ac:dyDescent="0.2">
      <c r="A256" s="35"/>
      <c r="B256" s="36"/>
      <c r="C256" s="81" t="s">
        <v>702</v>
      </c>
      <c r="D256" s="36"/>
      <c r="E256" s="82" t="s">
        <v>985</v>
      </c>
      <c r="F256" s="36"/>
      <c r="G256" s="83">
        <v>0.29199999999999998</v>
      </c>
      <c r="H256" s="36"/>
      <c r="I256" s="36"/>
      <c r="J256" s="36"/>
      <c r="K256" s="36"/>
      <c r="L256" s="36"/>
      <c r="M256" s="35"/>
      <c r="N256" s="32"/>
    </row>
    <row r="257" spans="1:64" x14ac:dyDescent="0.2">
      <c r="A257" s="35"/>
      <c r="B257" s="36"/>
      <c r="C257" s="81" t="s">
        <v>703</v>
      </c>
      <c r="D257" s="36"/>
      <c r="E257" s="82" t="s">
        <v>986</v>
      </c>
      <c r="F257" s="36"/>
      <c r="G257" s="83">
        <v>0.52900000000000003</v>
      </c>
      <c r="H257" s="36"/>
      <c r="I257" s="36"/>
      <c r="J257" s="36"/>
      <c r="K257" s="36"/>
      <c r="L257" s="36"/>
      <c r="M257" s="35"/>
      <c r="N257" s="32"/>
    </row>
    <row r="258" spans="1:64" x14ac:dyDescent="0.2">
      <c r="A258" s="79" t="s">
        <v>210</v>
      </c>
      <c r="B258" s="79" t="s">
        <v>424</v>
      </c>
      <c r="C258" s="194" t="s">
        <v>704</v>
      </c>
      <c r="D258" s="195"/>
      <c r="E258" s="195"/>
      <c r="F258" s="79" t="s">
        <v>1048</v>
      </c>
      <c r="G258" s="80">
        <v>36.447800000000001</v>
      </c>
      <c r="H258" s="80">
        <v>0</v>
      </c>
      <c r="I258" s="80">
        <f>G258*AO258</f>
        <v>0</v>
      </c>
      <c r="J258" s="80">
        <f>G258*AP258</f>
        <v>0</v>
      </c>
      <c r="K258" s="80">
        <f>G258*H258</f>
        <v>0</v>
      </c>
      <c r="L258" s="80">
        <f>G258*258</f>
        <v>9403.5324000000001</v>
      </c>
      <c r="M258" s="94" t="s">
        <v>1066</v>
      </c>
      <c r="N258" s="32"/>
      <c r="Z258" s="11">
        <f>IF(AQ258="5",BJ258,0)</f>
        <v>0</v>
      </c>
      <c r="AB258" s="11">
        <f>IF(AQ258="1",BH258,0)</f>
        <v>0</v>
      </c>
      <c r="AC258" s="11">
        <f>IF(AQ258="1",BI258,0)</f>
        <v>0</v>
      </c>
      <c r="AD258" s="11">
        <f>IF(AQ258="7",BH258,0)</f>
        <v>0</v>
      </c>
      <c r="AE258" s="11">
        <f>IF(AQ258="7",BI258,0)</f>
        <v>0</v>
      </c>
      <c r="AF258" s="11">
        <f>IF(AQ258="2",BH258,0)</f>
        <v>0</v>
      </c>
      <c r="AG258" s="11">
        <f>IF(AQ258="2",BI258,0)</f>
        <v>0</v>
      </c>
      <c r="AH258" s="11">
        <f>IF(AQ258="0",BJ258,0)</f>
        <v>0</v>
      </c>
      <c r="AI258" s="26" t="s">
        <v>76</v>
      </c>
      <c r="AJ258" s="20">
        <f>IF(AN258=0,K258,0)</f>
        <v>0</v>
      </c>
      <c r="AK258" s="20">
        <f>IF(AN258=15,K258,0)</f>
        <v>0</v>
      </c>
      <c r="AL258" s="20">
        <f>IF(AN258=21,K258,0)</f>
        <v>0</v>
      </c>
      <c r="AN258" s="11">
        <v>21</v>
      </c>
      <c r="AO258" s="11">
        <f>H258*0</f>
        <v>0</v>
      </c>
      <c r="AP258" s="11">
        <f>H258*(1-0)</f>
        <v>0</v>
      </c>
      <c r="AQ258" s="27" t="s">
        <v>142</v>
      </c>
      <c r="AV258" s="11">
        <f>AW258+AX258</f>
        <v>0</v>
      </c>
      <c r="AW258" s="11">
        <f>G258*AO258</f>
        <v>0</v>
      </c>
      <c r="AX258" s="11">
        <f>G258*AP258</f>
        <v>0</v>
      </c>
      <c r="AY258" s="29" t="s">
        <v>1091</v>
      </c>
      <c r="AZ258" s="29" t="s">
        <v>1109</v>
      </c>
      <c r="BA258" s="26" t="s">
        <v>1128</v>
      </c>
      <c r="BB258" s="26" t="s">
        <v>1148</v>
      </c>
      <c r="BC258" s="11">
        <f>AW258+AX258</f>
        <v>0</v>
      </c>
      <c r="BD258" s="11">
        <f>H258/(100-BE258)*100</f>
        <v>0</v>
      </c>
      <c r="BE258" s="11">
        <v>0</v>
      </c>
      <c r="BF258" s="11">
        <f>L258</f>
        <v>9403.5324000000001</v>
      </c>
      <c r="BH258" s="20">
        <f>G258*AO258</f>
        <v>0</v>
      </c>
      <c r="BI258" s="20">
        <f>G258*AP258</f>
        <v>0</v>
      </c>
      <c r="BJ258" s="20">
        <f>G258*H258</f>
        <v>0</v>
      </c>
      <c r="BK258" s="20" t="s">
        <v>1164</v>
      </c>
      <c r="BL258" s="11" t="s">
        <v>98</v>
      </c>
    </row>
    <row r="259" spans="1:64" x14ac:dyDescent="0.2">
      <c r="A259" s="35"/>
      <c r="B259" s="36"/>
      <c r="C259" s="81" t="s">
        <v>705</v>
      </c>
      <c r="D259" s="36"/>
      <c r="E259" s="82"/>
      <c r="F259" s="36"/>
      <c r="G259" s="83">
        <v>36.447800000000001</v>
      </c>
      <c r="H259" s="36"/>
      <c r="I259" s="36"/>
      <c r="J259" s="36"/>
      <c r="K259" s="36"/>
      <c r="L259" s="36"/>
      <c r="M259" s="35"/>
      <c r="N259" s="32"/>
    </row>
    <row r="260" spans="1:64" x14ac:dyDescent="0.2">
      <c r="A260" s="79" t="s">
        <v>211</v>
      </c>
      <c r="B260" s="79" t="s">
        <v>425</v>
      </c>
      <c r="C260" s="194" t="s">
        <v>706</v>
      </c>
      <c r="D260" s="195"/>
      <c r="E260" s="195"/>
      <c r="F260" s="79" t="s">
        <v>1048</v>
      </c>
      <c r="G260" s="80">
        <v>18.2239</v>
      </c>
      <c r="H260" s="80">
        <v>0</v>
      </c>
      <c r="I260" s="80">
        <f>G260*AO260</f>
        <v>0</v>
      </c>
      <c r="J260" s="80">
        <f>G260*AP260</f>
        <v>0</v>
      </c>
      <c r="K260" s="80">
        <f>G260*H260</f>
        <v>0</v>
      </c>
      <c r="L260" s="80">
        <f>G260*260</f>
        <v>4738.2139999999999</v>
      </c>
      <c r="M260" s="94" t="s">
        <v>1066</v>
      </c>
      <c r="N260" s="32"/>
      <c r="Z260" s="11">
        <f>IF(AQ260="5",BJ260,0)</f>
        <v>0</v>
      </c>
      <c r="AB260" s="11">
        <f>IF(AQ260="1",BH260,0)</f>
        <v>0</v>
      </c>
      <c r="AC260" s="11">
        <f>IF(AQ260="1",BI260,0)</f>
        <v>0</v>
      </c>
      <c r="AD260" s="11">
        <f>IF(AQ260="7",BH260,0)</f>
        <v>0</v>
      </c>
      <c r="AE260" s="11">
        <f>IF(AQ260="7",BI260,0)</f>
        <v>0</v>
      </c>
      <c r="AF260" s="11">
        <f>IF(AQ260="2",BH260,0)</f>
        <v>0</v>
      </c>
      <c r="AG260" s="11">
        <f>IF(AQ260="2",BI260,0)</f>
        <v>0</v>
      </c>
      <c r="AH260" s="11">
        <f>IF(AQ260="0",BJ260,0)</f>
        <v>0</v>
      </c>
      <c r="AI260" s="26" t="s">
        <v>76</v>
      </c>
      <c r="AJ260" s="20">
        <f>IF(AN260=0,K260,0)</f>
        <v>0</v>
      </c>
      <c r="AK260" s="20">
        <f>IF(AN260=15,K260,0)</f>
        <v>0</v>
      </c>
      <c r="AL260" s="20">
        <f>IF(AN260=21,K260,0)</f>
        <v>0</v>
      </c>
      <c r="AN260" s="11">
        <v>21</v>
      </c>
      <c r="AO260" s="11">
        <f>H260*0</f>
        <v>0</v>
      </c>
      <c r="AP260" s="11">
        <f>H260*(1-0)</f>
        <v>0</v>
      </c>
      <c r="AQ260" s="27" t="s">
        <v>142</v>
      </c>
      <c r="AV260" s="11">
        <f>AW260+AX260</f>
        <v>0</v>
      </c>
      <c r="AW260" s="11">
        <f>G260*AO260</f>
        <v>0</v>
      </c>
      <c r="AX260" s="11">
        <f>G260*AP260</f>
        <v>0</v>
      </c>
      <c r="AY260" s="29" t="s">
        <v>1091</v>
      </c>
      <c r="AZ260" s="29" t="s">
        <v>1109</v>
      </c>
      <c r="BA260" s="26" t="s">
        <v>1128</v>
      </c>
      <c r="BB260" s="26" t="s">
        <v>1148</v>
      </c>
      <c r="BC260" s="11">
        <f>AW260+AX260</f>
        <v>0</v>
      </c>
      <c r="BD260" s="11">
        <f>H260/(100-BE260)*100</f>
        <v>0</v>
      </c>
      <c r="BE260" s="11">
        <v>0</v>
      </c>
      <c r="BF260" s="11">
        <f>L260</f>
        <v>4738.2139999999999</v>
      </c>
      <c r="BH260" s="20">
        <f>G260*AO260</f>
        <v>0</v>
      </c>
      <c r="BI260" s="20">
        <f>G260*AP260</f>
        <v>0</v>
      </c>
      <c r="BJ260" s="20">
        <f>G260*H260</f>
        <v>0</v>
      </c>
      <c r="BK260" s="20" t="s">
        <v>1164</v>
      </c>
      <c r="BL260" s="11" t="s">
        <v>98</v>
      </c>
    </row>
    <row r="261" spans="1:64" x14ac:dyDescent="0.2">
      <c r="A261" s="35"/>
      <c r="B261" s="36"/>
      <c r="C261" s="81" t="s">
        <v>707</v>
      </c>
      <c r="D261" s="36"/>
      <c r="E261" s="82"/>
      <c r="F261" s="36"/>
      <c r="G261" s="83">
        <v>18.2239</v>
      </c>
      <c r="H261" s="36"/>
      <c r="I261" s="36"/>
      <c r="J261" s="36"/>
      <c r="K261" s="36"/>
      <c r="L261" s="36"/>
      <c r="M261" s="35"/>
      <c r="N261" s="32"/>
    </row>
    <row r="262" spans="1:64" x14ac:dyDescent="0.2">
      <c r="A262" s="79" t="s">
        <v>212</v>
      </c>
      <c r="B262" s="79" t="s">
        <v>426</v>
      </c>
      <c r="C262" s="194" t="s">
        <v>708</v>
      </c>
      <c r="D262" s="195"/>
      <c r="E262" s="195"/>
      <c r="F262" s="79" t="s">
        <v>1048</v>
      </c>
      <c r="G262" s="80">
        <v>18.2239</v>
      </c>
      <c r="H262" s="80">
        <v>0</v>
      </c>
      <c r="I262" s="80">
        <f>G262*AO262</f>
        <v>0</v>
      </c>
      <c r="J262" s="80">
        <f>G262*AP262</f>
        <v>0</v>
      </c>
      <c r="K262" s="80">
        <f>G262*H262</f>
        <v>0</v>
      </c>
      <c r="L262" s="80">
        <f>G262*262</f>
        <v>4774.6617999999999</v>
      </c>
      <c r="M262" s="94" t="s">
        <v>1066</v>
      </c>
      <c r="N262" s="32"/>
      <c r="Z262" s="11">
        <f>IF(AQ262="5",BJ262,0)</f>
        <v>0</v>
      </c>
      <c r="AB262" s="11">
        <f>IF(AQ262="1",BH262,0)</f>
        <v>0</v>
      </c>
      <c r="AC262" s="11">
        <f>IF(AQ262="1",BI262,0)</f>
        <v>0</v>
      </c>
      <c r="AD262" s="11">
        <f>IF(AQ262="7",BH262,0)</f>
        <v>0</v>
      </c>
      <c r="AE262" s="11">
        <f>IF(AQ262="7",BI262,0)</f>
        <v>0</v>
      </c>
      <c r="AF262" s="11">
        <f>IF(AQ262="2",BH262,0)</f>
        <v>0</v>
      </c>
      <c r="AG262" s="11">
        <f>IF(AQ262="2",BI262,0)</f>
        <v>0</v>
      </c>
      <c r="AH262" s="11">
        <f>IF(AQ262="0",BJ262,0)</f>
        <v>0</v>
      </c>
      <c r="AI262" s="26" t="s">
        <v>76</v>
      </c>
      <c r="AJ262" s="20">
        <f>IF(AN262=0,K262,0)</f>
        <v>0</v>
      </c>
      <c r="AK262" s="20">
        <f>IF(AN262=15,K262,0)</f>
        <v>0</v>
      </c>
      <c r="AL262" s="20">
        <f>IF(AN262=21,K262,0)</f>
        <v>0</v>
      </c>
      <c r="AN262" s="11">
        <v>21</v>
      </c>
      <c r="AO262" s="11">
        <f>H262*0</f>
        <v>0</v>
      </c>
      <c r="AP262" s="11">
        <f>H262*(1-0)</f>
        <v>0</v>
      </c>
      <c r="AQ262" s="27" t="s">
        <v>142</v>
      </c>
      <c r="AV262" s="11">
        <f>AW262+AX262</f>
        <v>0</v>
      </c>
      <c r="AW262" s="11">
        <f>G262*AO262</f>
        <v>0</v>
      </c>
      <c r="AX262" s="11">
        <f>G262*AP262</f>
        <v>0</v>
      </c>
      <c r="AY262" s="29" t="s">
        <v>1091</v>
      </c>
      <c r="AZ262" s="29" t="s">
        <v>1109</v>
      </c>
      <c r="BA262" s="26" t="s">
        <v>1128</v>
      </c>
      <c r="BB262" s="26" t="s">
        <v>1148</v>
      </c>
      <c r="BC262" s="11">
        <f>AW262+AX262</f>
        <v>0</v>
      </c>
      <c r="BD262" s="11">
        <f>H262/(100-BE262)*100</f>
        <v>0</v>
      </c>
      <c r="BE262" s="11">
        <v>0</v>
      </c>
      <c r="BF262" s="11">
        <f>L262</f>
        <v>4774.6617999999999</v>
      </c>
      <c r="BH262" s="20">
        <f>G262*AO262</f>
        <v>0</v>
      </c>
      <c r="BI262" s="20">
        <f>G262*AP262</f>
        <v>0</v>
      </c>
      <c r="BJ262" s="20">
        <f>G262*H262</f>
        <v>0</v>
      </c>
      <c r="BK262" s="20" t="s">
        <v>1164</v>
      </c>
      <c r="BL262" s="11" t="s">
        <v>98</v>
      </c>
    </row>
    <row r="263" spans="1:64" x14ac:dyDescent="0.2">
      <c r="A263" s="35"/>
      <c r="B263" s="36"/>
      <c r="C263" s="81" t="s">
        <v>707</v>
      </c>
      <c r="D263" s="36"/>
      <c r="E263" s="82"/>
      <c r="F263" s="36"/>
      <c r="G263" s="83">
        <v>18.2239</v>
      </c>
      <c r="H263" s="36"/>
      <c r="I263" s="36"/>
      <c r="J263" s="36"/>
      <c r="K263" s="36"/>
      <c r="L263" s="36"/>
      <c r="M263" s="35"/>
      <c r="N263" s="32"/>
    </row>
    <row r="264" spans="1:64" x14ac:dyDescent="0.2">
      <c r="A264" s="79" t="s">
        <v>213</v>
      </c>
      <c r="B264" s="79" t="s">
        <v>427</v>
      </c>
      <c r="C264" s="194" t="s">
        <v>709</v>
      </c>
      <c r="D264" s="195"/>
      <c r="E264" s="195"/>
      <c r="F264" s="79" t="s">
        <v>1048</v>
      </c>
      <c r="G264" s="80">
        <v>127.5673</v>
      </c>
      <c r="H264" s="80">
        <v>0</v>
      </c>
      <c r="I264" s="80">
        <f>G264*AO264</f>
        <v>0</v>
      </c>
      <c r="J264" s="80">
        <f>G264*AP264</f>
        <v>0</v>
      </c>
      <c r="K264" s="80">
        <f>G264*H264</f>
        <v>0</v>
      </c>
      <c r="L264" s="80">
        <f>G264*264</f>
        <v>33677.767200000002</v>
      </c>
      <c r="M264" s="94" t="s">
        <v>1066</v>
      </c>
      <c r="N264" s="32"/>
      <c r="Z264" s="11">
        <f>IF(AQ264="5",BJ264,0)</f>
        <v>0</v>
      </c>
      <c r="AB264" s="11">
        <f>IF(AQ264="1",BH264,0)</f>
        <v>0</v>
      </c>
      <c r="AC264" s="11">
        <f>IF(AQ264="1",BI264,0)</f>
        <v>0</v>
      </c>
      <c r="AD264" s="11">
        <f>IF(AQ264="7",BH264,0)</f>
        <v>0</v>
      </c>
      <c r="AE264" s="11">
        <f>IF(AQ264="7",BI264,0)</f>
        <v>0</v>
      </c>
      <c r="AF264" s="11">
        <f>IF(AQ264="2",BH264,0)</f>
        <v>0</v>
      </c>
      <c r="AG264" s="11">
        <f>IF(AQ264="2",BI264,0)</f>
        <v>0</v>
      </c>
      <c r="AH264" s="11">
        <f>IF(AQ264="0",BJ264,0)</f>
        <v>0</v>
      </c>
      <c r="AI264" s="26" t="s">
        <v>76</v>
      </c>
      <c r="AJ264" s="20">
        <f>IF(AN264=0,K264,0)</f>
        <v>0</v>
      </c>
      <c r="AK264" s="20">
        <f>IF(AN264=15,K264,0)</f>
        <v>0</v>
      </c>
      <c r="AL264" s="20">
        <f>IF(AN264=21,K264,0)</f>
        <v>0</v>
      </c>
      <c r="AN264" s="11">
        <v>21</v>
      </c>
      <c r="AO264" s="11">
        <f>H264*0</f>
        <v>0</v>
      </c>
      <c r="AP264" s="11">
        <f>H264*(1-0)</f>
        <v>0</v>
      </c>
      <c r="AQ264" s="27" t="s">
        <v>142</v>
      </c>
      <c r="AV264" s="11">
        <f>AW264+AX264</f>
        <v>0</v>
      </c>
      <c r="AW264" s="11">
        <f>G264*AO264</f>
        <v>0</v>
      </c>
      <c r="AX264" s="11">
        <f>G264*AP264</f>
        <v>0</v>
      </c>
      <c r="AY264" s="29" t="s">
        <v>1091</v>
      </c>
      <c r="AZ264" s="29" t="s">
        <v>1109</v>
      </c>
      <c r="BA264" s="26" t="s">
        <v>1128</v>
      </c>
      <c r="BB264" s="26" t="s">
        <v>1148</v>
      </c>
      <c r="BC264" s="11">
        <f>AW264+AX264</f>
        <v>0</v>
      </c>
      <c r="BD264" s="11">
        <f>H264/(100-BE264)*100</f>
        <v>0</v>
      </c>
      <c r="BE264" s="11">
        <v>0</v>
      </c>
      <c r="BF264" s="11">
        <f>L264</f>
        <v>33677.767200000002</v>
      </c>
      <c r="BH264" s="20">
        <f>G264*AO264</f>
        <v>0</v>
      </c>
      <c r="BI264" s="20">
        <f>G264*AP264</f>
        <v>0</v>
      </c>
      <c r="BJ264" s="20">
        <f>G264*H264</f>
        <v>0</v>
      </c>
      <c r="BK264" s="20" t="s">
        <v>1164</v>
      </c>
      <c r="BL264" s="11" t="s">
        <v>98</v>
      </c>
    </row>
    <row r="265" spans="1:64" x14ac:dyDescent="0.2">
      <c r="A265" s="35"/>
      <c r="B265" s="36"/>
      <c r="C265" s="81" t="s">
        <v>710</v>
      </c>
      <c r="D265" s="36"/>
      <c r="E265" s="82"/>
      <c r="F265" s="36"/>
      <c r="G265" s="83">
        <v>127.5673</v>
      </c>
      <c r="H265" s="36"/>
      <c r="I265" s="36"/>
      <c r="J265" s="36"/>
      <c r="K265" s="36"/>
      <c r="L265" s="36"/>
      <c r="M265" s="35"/>
      <c r="N265" s="32"/>
    </row>
    <row r="266" spans="1:64" x14ac:dyDescent="0.2">
      <c r="A266" s="79" t="s">
        <v>214</v>
      </c>
      <c r="B266" s="79" t="s">
        <v>428</v>
      </c>
      <c r="C266" s="194" t="s">
        <v>711</v>
      </c>
      <c r="D266" s="195"/>
      <c r="E266" s="195"/>
      <c r="F266" s="79" t="s">
        <v>1048</v>
      </c>
      <c r="G266" s="80">
        <v>18.2239</v>
      </c>
      <c r="H266" s="80">
        <v>0</v>
      </c>
      <c r="I266" s="80">
        <f>G266*AO266</f>
        <v>0</v>
      </c>
      <c r="J266" s="80">
        <f>G266*AP266</f>
        <v>0</v>
      </c>
      <c r="K266" s="80">
        <f>G266*H266</f>
        <v>0</v>
      </c>
      <c r="L266" s="80">
        <f>G266*266</f>
        <v>4847.5573999999997</v>
      </c>
      <c r="M266" s="94" t="s">
        <v>1066</v>
      </c>
      <c r="N266" s="32"/>
      <c r="Z266" s="11">
        <f>IF(AQ266="5",BJ266,0)</f>
        <v>0</v>
      </c>
      <c r="AB266" s="11">
        <f>IF(AQ266="1",BH266,0)</f>
        <v>0</v>
      </c>
      <c r="AC266" s="11">
        <f>IF(AQ266="1",BI266,0)</f>
        <v>0</v>
      </c>
      <c r="AD266" s="11">
        <f>IF(AQ266="7",BH266,0)</f>
        <v>0</v>
      </c>
      <c r="AE266" s="11">
        <f>IF(AQ266="7",BI266,0)</f>
        <v>0</v>
      </c>
      <c r="AF266" s="11">
        <f>IF(AQ266="2",BH266,0)</f>
        <v>0</v>
      </c>
      <c r="AG266" s="11">
        <f>IF(AQ266="2",BI266,0)</f>
        <v>0</v>
      </c>
      <c r="AH266" s="11">
        <f>IF(AQ266="0",BJ266,0)</f>
        <v>0</v>
      </c>
      <c r="AI266" s="26" t="s">
        <v>76</v>
      </c>
      <c r="AJ266" s="20">
        <f>IF(AN266=0,K266,0)</f>
        <v>0</v>
      </c>
      <c r="AK266" s="20">
        <f>IF(AN266=15,K266,0)</f>
        <v>0</v>
      </c>
      <c r="AL266" s="20">
        <f>IF(AN266=21,K266,0)</f>
        <v>0</v>
      </c>
      <c r="AN266" s="11">
        <v>21</v>
      </c>
      <c r="AO266" s="11">
        <f>H266*0</f>
        <v>0</v>
      </c>
      <c r="AP266" s="11">
        <f>H266*(1-0)</f>
        <v>0</v>
      </c>
      <c r="AQ266" s="27" t="s">
        <v>142</v>
      </c>
      <c r="AV266" s="11">
        <f>AW266+AX266</f>
        <v>0</v>
      </c>
      <c r="AW266" s="11">
        <f>G266*AO266</f>
        <v>0</v>
      </c>
      <c r="AX266" s="11">
        <f>G266*AP266</f>
        <v>0</v>
      </c>
      <c r="AY266" s="29" t="s">
        <v>1091</v>
      </c>
      <c r="AZ266" s="29" t="s">
        <v>1109</v>
      </c>
      <c r="BA266" s="26" t="s">
        <v>1128</v>
      </c>
      <c r="BB266" s="26" t="s">
        <v>1148</v>
      </c>
      <c r="BC266" s="11">
        <f>AW266+AX266</f>
        <v>0</v>
      </c>
      <c r="BD266" s="11">
        <f>H266/(100-BE266)*100</f>
        <v>0</v>
      </c>
      <c r="BE266" s="11">
        <v>0</v>
      </c>
      <c r="BF266" s="11">
        <f>L266</f>
        <v>4847.5573999999997</v>
      </c>
      <c r="BH266" s="20">
        <f>G266*AO266</f>
        <v>0</v>
      </c>
      <c r="BI266" s="20">
        <f>G266*AP266</f>
        <v>0</v>
      </c>
      <c r="BJ266" s="20">
        <f>G266*H266</f>
        <v>0</v>
      </c>
      <c r="BK266" s="20" t="s">
        <v>1164</v>
      </c>
      <c r="BL266" s="11" t="s">
        <v>98</v>
      </c>
    </row>
    <row r="267" spans="1:64" x14ac:dyDescent="0.2">
      <c r="A267" s="35"/>
      <c r="B267" s="36"/>
      <c r="C267" s="81" t="s">
        <v>707</v>
      </c>
      <c r="D267" s="36"/>
      <c r="E267" s="82"/>
      <c r="F267" s="36"/>
      <c r="G267" s="83">
        <v>18.2239</v>
      </c>
      <c r="H267" s="36"/>
      <c r="I267" s="36"/>
      <c r="J267" s="36"/>
      <c r="K267" s="36"/>
      <c r="L267" s="36"/>
      <c r="M267" s="35"/>
      <c r="N267" s="32"/>
    </row>
    <row r="268" spans="1:64" x14ac:dyDescent="0.2">
      <c r="A268" s="79" t="s">
        <v>215</v>
      </c>
      <c r="B268" s="79" t="s">
        <v>429</v>
      </c>
      <c r="C268" s="194" t="s">
        <v>712</v>
      </c>
      <c r="D268" s="195"/>
      <c r="E268" s="195"/>
      <c r="F268" s="79" t="s">
        <v>1048</v>
      </c>
      <c r="G268" s="80">
        <v>0.29199999999999998</v>
      </c>
      <c r="H268" s="80">
        <v>0</v>
      </c>
      <c r="I268" s="80">
        <f>G268*AO268</f>
        <v>0</v>
      </c>
      <c r="J268" s="80">
        <f>G268*AP268</f>
        <v>0</v>
      </c>
      <c r="K268" s="80">
        <f>G268*H268</f>
        <v>0</v>
      </c>
      <c r="L268" s="80">
        <f>G268*268</f>
        <v>78.256</v>
      </c>
      <c r="M268" s="94" t="s">
        <v>1066</v>
      </c>
      <c r="N268" s="32"/>
      <c r="Z268" s="11">
        <f>IF(AQ268="5",BJ268,0)</f>
        <v>0</v>
      </c>
      <c r="AB268" s="11">
        <f>IF(AQ268="1",BH268,0)</f>
        <v>0</v>
      </c>
      <c r="AC268" s="11">
        <f>IF(AQ268="1",BI268,0)</f>
        <v>0</v>
      </c>
      <c r="AD268" s="11">
        <f>IF(AQ268="7",BH268,0)</f>
        <v>0</v>
      </c>
      <c r="AE268" s="11">
        <f>IF(AQ268="7",BI268,0)</f>
        <v>0</v>
      </c>
      <c r="AF268" s="11">
        <f>IF(AQ268="2",BH268,0)</f>
        <v>0</v>
      </c>
      <c r="AG268" s="11">
        <f>IF(AQ268="2",BI268,0)</f>
        <v>0</v>
      </c>
      <c r="AH268" s="11">
        <f>IF(AQ268="0",BJ268,0)</f>
        <v>0</v>
      </c>
      <c r="AI268" s="26" t="s">
        <v>76</v>
      </c>
      <c r="AJ268" s="20">
        <f>IF(AN268=0,K268,0)</f>
        <v>0</v>
      </c>
      <c r="AK268" s="20">
        <f>IF(AN268=15,K268,0)</f>
        <v>0</v>
      </c>
      <c r="AL268" s="20">
        <f>IF(AN268=21,K268,0)</f>
        <v>0</v>
      </c>
      <c r="AN268" s="11">
        <v>21</v>
      </c>
      <c r="AO268" s="11">
        <f>H268*0</f>
        <v>0</v>
      </c>
      <c r="AP268" s="11">
        <f>H268*(1-0)</f>
        <v>0</v>
      </c>
      <c r="AQ268" s="27" t="s">
        <v>142</v>
      </c>
      <c r="AV268" s="11">
        <f>AW268+AX268</f>
        <v>0</v>
      </c>
      <c r="AW268" s="11">
        <f>G268*AO268</f>
        <v>0</v>
      </c>
      <c r="AX268" s="11">
        <f>G268*AP268</f>
        <v>0</v>
      </c>
      <c r="AY268" s="29" t="s">
        <v>1091</v>
      </c>
      <c r="AZ268" s="29" t="s">
        <v>1109</v>
      </c>
      <c r="BA268" s="26" t="s">
        <v>1128</v>
      </c>
      <c r="BB268" s="26" t="s">
        <v>1148</v>
      </c>
      <c r="BC268" s="11">
        <f>AW268+AX268</f>
        <v>0</v>
      </c>
      <c r="BD268" s="11">
        <f>H268/(100-BE268)*100</f>
        <v>0</v>
      </c>
      <c r="BE268" s="11">
        <v>0</v>
      </c>
      <c r="BF268" s="11">
        <f>L268</f>
        <v>78.256</v>
      </c>
      <c r="BH268" s="20">
        <f>G268*AO268</f>
        <v>0</v>
      </c>
      <c r="BI268" s="20">
        <f>G268*AP268</f>
        <v>0</v>
      </c>
      <c r="BJ268" s="20">
        <f>G268*H268</f>
        <v>0</v>
      </c>
      <c r="BK268" s="20" t="s">
        <v>1164</v>
      </c>
      <c r="BL268" s="11" t="s">
        <v>98</v>
      </c>
    </row>
    <row r="269" spans="1:64" x14ac:dyDescent="0.2">
      <c r="A269" s="35"/>
      <c r="B269" s="36"/>
      <c r="C269" s="81" t="s">
        <v>702</v>
      </c>
      <c r="D269" s="36"/>
      <c r="E269" s="82"/>
      <c r="F269" s="36"/>
      <c r="G269" s="83">
        <v>0.29199999999999998</v>
      </c>
      <c r="H269" s="36"/>
      <c r="I269" s="36"/>
      <c r="J269" s="36"/>
      <c r="K269" s="36"/>
      <c r="L269" s="36"/>
      <c r="M269" s="35"/>
      <c r="N269" s="32"/>
    </row>
    <row r="270" spans="1:64" x14ac:dyDescent="0.2">
      <c r="A270" s="79" t="s">
        <v>216</v>
      </c>
      <c r="B270" s="79" t="s">
        <v>430</v>
      </c>
      <c r="C270" s="194" t="s">
        <v>713</v>
      </c>
      <c r="D270" s="195"/>
      <c r="E270" s="195"/>
      <c r="F270" s="79" t="s">
        <v>1048</v>
      </c>
      <c r="G270" s="80">
        <v>17.931899999999999</v>
      </c>
      <c r="H270" s="80">
        <v>0</v>
      </c>
      <c r="I270" s="80">
        <f>G270*AO270</f>
        <v>0</v>
      </c>
      <c r="J270" s="80">
        <f>G270*AP270</f>
        <v>0</v>
      </c>
      <c r="K270" s="80">
        <f>G270*H270</f>
        <v>0</v>
      </c>
      <c r="L270" s="80">
        <f>G270*270</f>
        <v>4841.6129999999994</v>
      </c>
      <c r="M270" s="94" t="s">
        <v>1066</v>
      </c>
      <c r="N270" s="32"/>
      <c r="Z270" s="11">
        <f>IF(AQ270="5",BJ270,0)</f>
        <v>0</v>
      </c>
      <c r="AB270" s="11">
        <f>IF(AQ270="1",BH270,0)</f>
        <v>0</v>
      </c>
      <c r="AC270" s="11">
        <f>IF(AQ270="1",BI270,0)</f>
        <v>0</v>
      </c>
      <c r="AD270" s="11">
        <f>IF(AQ270="7",BH270,0)</f>
        <v>0</v>
      </c>
      <c r="AE270" s="11">
        <f>IF(AQ270="7",BI270,0)</f>
        <v>0</v>
      </c>
      <c r="AF270" s="11">
        <f>IF(AQ270="2",BH270,0)</f>
        <v>0</v>
      </c>
      <c r="AG270" s="11">
        <f>IF(AQ270="2",BI270,0)</f>
        <v>0</v>
      </c>
      <c r="AH270" s="11">
        <f>IF(AQ270="0",BJ270,0)</f>
        <v>0</v>
      </c>
      <c r="AI270" s="26" t="s">
        <v>76</v>
      </c>
      <c r="AJ270" s="20">
        <f>IF(AN270=0,K270,0)</f>
        <v>0</v>
      </c>
      <c r="AK270" s="20">
        <f>IF(AN270=15,K270,0)</f>
        <v>0</v>
      </c>
      <c r="AL270" s="20">
        <f>IF(AN270=21,K270,0)</f>
        <v>0</v>
      </c>
      <c r="AN270" s="11">
        <v>21</v>
      </c>
      <c r="AO270" s="11">
        <f>H270*0</f>
        <v>0</v>
      </c>
      <c r="AP270" s="11">
        <f>H270*(1-0)</f>
        <v>0</v>
      </c>
      <c r="AQ270" s="27" t="s">
        <v>142</v>
      </c>
      <c r="AV270" s="11">
        <f>AW270+AX270</f>
        <v>0</v>
      </c>
      <c r="AW270" s="11">
        <f>G270*AO270</f>
        <v>0</v>
      </c>
      <c r="AX270" s="11">
        <f>G270*AP270</f>
        <v>0</v>
      </c>
      <c r="AY270" s="29" t="s">
        <v>1091</v>
      </c>
      <c r="AZ270" s="29" t="s">
        <v>1109</v>
      </c>
      <c r="BA270" s="26" t="s">
        <v>1128</v>
      </c>
      <c r="BB270" s="26" t="s">
        <v>1148</v>
      </c>
      <c r="BC270" s="11">
        <f>AW270+AX270</f>
        <v>0</v>
      </c>
      <c r="BD270" s="11">
        <f>H270/(100-BE270)*100</f>
        <v>0</v>
      </c>
      <c r="BE270" s="11">
        <v>0</v>
      </c>
      <c r="BF270" s="11">
        <f>L270</f>
        <v>4841.6129999999994</v>
      </c>
      <c r="BH270" s="20">
        <f>G270*AO270</f>
        <v>0</v>
      </c>
      <c r="BI270" s="20">
        <f>G270*AP270</f>
        <v>0</v>
      </c>
      <c r="BJ270" s="20">
        <f>G270*H270</f>
        <v>0</v>
      </c>
      <c r="BK270" s="20" t="s">
        <v>1164</v>
      </c>
      <c r="BL270" s="11" t="s">
        <v>98</v>
      </c>
    </row>
    <row r="271" spans="1:64" x14ac:dyDescent="0.2">
      <c r="A271" s="35"/>
      <c r="B271" s="36"/>
      <c r="C271" s="81" t="s">
        <v>714</v>
      </c>
      <c r="D271" s="36"/>
      <c r="E271" s="82"/>
      <c r="F271" s="36"/>
      <c r="G271" s="83">
        <v>17.931899999999999</v>
      </c>
      <c r="H271" s="36"/>
      <c r="I271" s="36"/>
      <c r="J271" s="36"/>
      <c r="K271" s="36"/>
      <c r="L271" s="36"/>
      <c r="M271" s="35"/>
      <c r="N271" s="32"/>
    </row>
    <row r="272" spans="1:64" x14ac:dyDescent="0.2">
      <c r="A272" s="77"/>
      <c r="B272" s="76" t="s">
        <v>99</v>
      </c>
      <c r="C272" s="204" t="s">
        <v>125</v>
      </c>
      <c r="D272" s="205"/>
      <c r="E272" s="205"/>
      <c r="F272" s="77" t="s">
        <v>60</v>
      </c>
      <c r="G272" s="77" t="s">
        <v>60</v>
      </c>
      <c r="H272" s="77" t="s">
        <v>60</v>
      </c>
      <c r="I272" s="78">
        <f>SUM(I273:I273)</f>
        <v>0</v>
      </c>
      <c r="J272" s="78">
        <f>SUM(J273:J273)</f>
        <v>0</v>
      </c>
      <c r="K272" s="78">
        <f>SUM(K273:K273)</f>
        <v>0</v>
      </c>
      <c r="L272" s="78">
        <f>SUM(L273:L273)</f>
        <v>273</v>
      </c>
      <c r="M272" s="93"/>
      <c r="N272" s="32"/>
      <c r="AI272" s="26" t="s">
        <v>76</v>
      </c>
      <c r="AS272" s="31">
        <f>SUM(AJ273:AJ273)</f>
        <v>0</v>
      </c>
      <c r="AT272" s="31">
        <f>SUM(AK273:AK273)</f>
        <v>0</v>
      </c>
      <c r="AU272" s="31">
        <f>SUM(AL273:AL273)</f>
        <v>0</v>
      </c>
    </row>
    <row r="273" spans="1:64" x14ac:dyDescent="0.2">
      <c r="A273" s="79" t="s">
        <v>217</v>
      </c>
      <c r="B273" s="79" t="s">
        <v>431</v>
      </c>
      <c r="C273" s="194" t="s">
        <v>715</v>
      </c>
      <c r="D273" s="195"/>
      <c r="E273" s="195"/>
      <c r="F273" s="79" t="s">
        <v>1052</v>
      </c>
      <c r="G273" s="80">
        <v>1</v>
      </c>
      <c r="H273" s="80">
        <v>0</v>
      </c>
      <c r="I273" s="80">
        <f>G273*AO273</f>
        <v>0</v>
      </c>
      <c r="J273" s="80">
        <f>G273*AP273</f>
        <v>0</v>
      </c>
      <c r="K273" s="80">
        <f>G273*H273</f>
        <v>0</v>
      </c>
      <c r="L273" s="80">
        <f>G273*273</f>
        <v>273</v>
      </c>
      <c r="M273" s="94" t="s">
        <v>1067</v>
      </c>
      <c r="N273" s="32"/>
      <c r="Z273" s="11">
        <f>IF(AQ273="5",BJ273,0)</f>
        <v>0</v>
      </c>
      <c r="AB273" s="11">
        <f>IF(AQ273="1",BH273,0)</f>
        <v>0</v>
      </c>
      <c r="AC273" s="11">
        <f>IF(AQ273="1",BI273,0)</f>
        <v>0</v>
      </c>
      <c r="AD273" s="11">
        <f>IF(AQ273="7",BH273,0)</f>
        <v>0</v>
      </c>
      <c r="AE273" s="11">
        <f>IF(AQ273="7",BI273,0)</f>
        <v>0</v>
      </c>
      <c r="AF273" s="11">
        <f>IF(AQ273="2",BH273,0)</f>
        <v>0</v>
      </c>
      <c r="AG273" s="11">
        <f>IF(AQ273="2",BI273,0)</f>
        <v>0</v>
      </c>
      <c r="AH273" s="11">
        <f>IF(AQ273="0",BJ273,0)</f>
        <v>0</v>
      </c>
      <c r="AI273" s="26" t="s">
        <v>76</v>
      </c>
      <c r="AJ273" s="20">
        <f>IF(AN273=0,K273,0)</f>
        <v>0</v>
      </c>
      <c r="AK273" s="20">
        <f>IF(AN273=15,K273,0)</f>
        <v>0</v>
      </c>
      <c r="AL273" s="20">
        <f>IF(AN273=21,K273,0)</f>
        <v>0</v>
      </c>
      <c r="AN273" s="11">
        <v>21</v>
      </c>
      <c r="AO273" s="11">
        <f>H273*0</f>
        <v>0</v>
      </c>
      <c r="AP273" s="11">
        <f>H273*(1-0)</f>
        <v>0</v>
      </c>
      <c r="AQ273" s="27" t="s">
        <v>138</v>
      </c>
      <c r="AV273" s="11">
        <f>AW273+AX273</f>
        <v>0</v>
      </c>
      <c r="AW273" s="11">
        <f>G273*AO273</f>
        <v>0</v>
      </c>
      <c r="AX273" s="11">
        <f>G273*AP273</f>
        <v>0</v>
      </c>
      <c r="AY273" s="29" t="s">
        <v>1092</v>
      </c>
      <c r="AZ273" s="29" t="s">
        <v>1110</v>
      </c>
      <c r="BA273" s="26" t="s">
        <v>1128</v>
      </c>
      <c r="BB273" s="26" t="s">
        <v>1149</v>
      </c>
      <c r="BC273" s="11">
        <f>AW273+AX273</f>
        <v>0</v>
      </c>
      <c r="BD273" s="11">
        <f>H273/(100-BE273)*100</f>
        <v>0</v>
      </c>
      <c r="BE273" s="11">
        <v>0</v>
      </c>
      <c r="BF273" s="11">
        <f>L273</f>
        <v>273</v>
      </c>
      <c r="BH273" s="20">
        <f>G273*AO273</f>
        <v>0</v>
      </c>
      <c r="BI273" s="20">
        <f>G273*AP273</f>
        <v>0</v>
      </c>
      <c r="BJ273" s="20">
        <f>G273*H273</f>
        <v>0</v>
      </c>
      <c r="BK273" s="20" t="s">
        <v>1164</v>
      </c>
      <c r="BL273" s="11" t="s">
        <v>99</v>
      </c>
    </row>
    <row r="274" spans="1:64" x14ac:dyDescent="0.2">
      <c r="A274" s="88"/>
      <c r="B274" s="87"/>
      <c r="C274" s="202" t="s">
        <v>63</v>
      </c>
      <c r="D274" s="203"/>
      <c r="E274" s="203"/>
      <c r="F274" s="88" t="s">
        <v>60</v>
      </c>
      <c r="G274" s="88" t="s">
        <v>60</v>
      </c>
      <c r="H274" s="88" t="s">
        <v>60</v>
      </c>
      <c r="I274" s="89">
        <f>I275+I286+I314+I317+I339+I364+I396+I401+I414+I418+I435+I447+I450+I470</f>
        <v>0</v>
      </c>
      <c r="J274" s="89">
        <f>J275+J286+J314+J317+J339+J364+J396+J401+J414+J418+J435+J447+J450+J470</f>
        <v>0</v>
      </c>
      <c r="K274" s="89">
        <f>K275+K286+K314+K317+K339+K364+K396+K401+K414+K418+K435+K447+K450+K470</f>
        <v>0</v>
      </c>
      <c r="L274" s="89">
        <f>L275+L286+L314+L317+L339+L364+L396+L401+L414+L418+L435+L447+L450+L470</f>
        <v>1285426.13616</v>
      </c>
      <c r="M274" s="96"/>
      <c r="N274" s="32"/>
    </row>
    <row r="275" spans="1:64" x14ac:dyDescent="0.2">
      <c r="A275" s="77"/>
      <c r="B275" s="76" t="s">
        <v>84</v>
      </c>
      <c r="C275" s="204" t="s">
        <v>110</v>
      </c>
      <c r="D275" s="205"/>
      <c r="E275" s="205"/>
      <c r="F275" s="77" t="s">
        <v>60</v>
      </c>
      <c r="G275" s="77" t="s">
        <v>60</v>
      </c>
      <c r="H275" s="77" t="s">
        <v>60</v>
      </c>
      <c r="I275" s="78">
        <f>SUM(I276:I283)</f>
        <v>0</v>
      </c>
      <c r="J275" s="78">
        <f>SUM(J276:J283)</f>
        <v>0</v>
      </c>
      <c r="K275" s="78">
        <f>SUM(K276:K283)</f>
        <v>0</v>
      </c>
      <c r="L275" s="78">
        <f>SUM(L276:L283)</f>
        <v>1441.8804700000001</v>
      </c>
      <c r="M275" s="93"/>
      <c r="N275" s="32"/>
      <c r="AI275" s="26" t="s">
        <v>77</v>
      </c>
      <c r="AS275" s="31">
        <f>SUM(AJ276:AJ283)</f>
        <v>0</v>
      </c>
      <c r="AT275" s="31">
        <f>SUM(AK276:AK283)</f>
        <v>0</v>
      </c>
      <c r="AU275" s="31">
        <f>SUM(AL276:AL283)</f>
        <v>0</v>
      </c>
    </row>
    <row r="276" spans="1:64" x14ac:dyDescent="0.2">
      <c r="A276" s="79" t="s">
        <v>218</v>
      </c>
      <c r="B276" s="79" t="s">
        <v>351</v>
      </c>
      <c r="C276" s="194" t="s">
        <v>500</v>
      </c>
      <c r="D276" s="195"/>
      <c r="E276" s="195"/>
      <c r="F276" s="79" t="s">
        <v>1047</v>
      </c>
      <c r="G276" s="80">
        <v>4</v>
      </c>
      <c r="H276" s="80">
        <v>0</v>
      </c>
      <c r="I276" s="80">
        <f>G276*AO276</f>
        <v>0</v>
      </c>
      <c r="J276" s="80">
        <f>G276*AP276</f>
        <v>0</v>
      </c>
      <c r="K276" s="80">
        <f>G276*H276</f>
        <v>0</v>
      </c>
      <c r="L276" s="80">
        <f>G276*276</f>
        <v>1104</v>
      </c>
      <c r="M276" s="94" t="s">
        <v>1066</v>
      </c>
      <c r="N276" s="32"/>
      <c r="Z276" s="11">
        <f>IF(AQ276="5",BJ276,0)</f>
        <v>0</v>
      </c>
      <c r="AB276" s="11">
        <f>IF(AQ276="1",BH276,0)</f>
        <v>0</v>
      </c>
      <c r="AC276" s="11">
        <f>IF(AQ276="1",BI276,0)</f>
        <v>0</v>
      </c>
      <c r="AD276" s="11">
        <f>IF(AQ276="7",BH276,0)</f>
        <v>0</v>
      </c>
      <c r="AE276" s="11">
        <f>IF(AQ276="7",BI276,0)</f>
        <v>0</v>
      </c>
      <c r="AF276" s="11">
        <f>IF(AQ276="2",BH276,0)</f>
        <v>0</v>
      </c>
      <c r="AG276" s="11">
        <f>IF(AQ276="2",BI276,0)</f>
        <v>0</v>
      </c>
      <c r="AH276" s="11">
        <f>IF(AQ276="0",BJ276,0)</f>
        <v>0</v>
      </c>
      <c r="AI276" s="26" t="s">
        <v>77</v>
      </c>
      <c r="AJ276" s="20">
        <f>IF(AN276=0,K276,0)</f>
        <v>0</v>
      </c>
      <c r="AK276" s="20">
        <f>IF(AN276=15,K276,0)</f>
        <v>0</v>
      </c>
      <c r="AL276" s="20">
        <f>IF(AN276=21,K276,0)</f>
        <v>0</v>
      </c>
      <c r="AN276" s="11">
        <v>21</v>
      </c>
      <c r="AO276" s="11">
        <f>H276*0.0579275023179831</f>
        <v>0</v>
      </c>
      <c r="AP276" s="11">
        <f>H276*(1-0.0579275023179831)</f>
        <v>0</v>
      </c>
      <c r="AQ276" s="27" t="s">
        <v>138</v>
      </c>
      <c r="AV276" s="11">
        <f>AW276+AX276</f>
        <v>0</v>
      </c>
      <c r="AW276" s="11">
        <f>G276*AO276</f>
        <v>0</v>
      </c>
      <c r="AX276" s="11">
        <f>G276*AP276</f>
        <v>0</v>
      </c>
      <c r="AY276" s="29" t="s">
        <v>1077</v>
      </c>
      <c r="AZ276" s="29" t="s">
        <v>1111</v>
      </c>
      <c r="BA276" s="26" t="s">
        <v>1129</v>
      </c>
      <c r="BB276" s="26" t="s">
        <v>1134</v>
      </c>
      <c r="BC276" s="11">
        <f>AW276+AX276</f>
        <v>0</v>
      </c>
      <c r="BD276" s="11">
        <f>H276/(100-BE276)*100</f>
        <v>0</v>
      </c>
      <c r="BE276" s="11">
        <v>0</v>
      </c>
      <c r="BF276" s="11">
        <f>L276</f>
        <v>1104</v>
      </c>
      <c r="BH276" s="20">
        <f>G276*AO276</f>
        <v>0</v>
      </c>
      <c r="BI276" s="20">
        <f>G276*AP276</f>
        <v>0</v>
      </c>
      <c r="BJ276" s="20">
        <f>G276*H276</f>
        <v>0</v>
      </c>
      <c r="BK276" s="20" t="s">
        <v>1164</v>
      </c>
      <c r="BL276" s="11">
        <v>31</v>
      </c>
    </row>
    <row r="277" spans="1:64" x14ac:dyDescent="0.2">
      <c r="A277" s="35"/>
      <c r="B277" s="36"/>
      <c r="C277" s="81" t="s">
        <v>141</v>
      </c>
      <c r="D277" s="36"/>
      <c r="E277" s="82"/>
      <c r="F277" s="36"/>
      <c r="G277" s="83">
        <v>4</v>
      </c>
      <c r="H277" s="36"/>
      <c r="I277" s="36"/>
      <c r="J277" s="36"/>
      <c r="K277" s="36"/>
      <c r="L277" s="36"/>
      <c r="M277" s="35"/>
      <c r="N277" s="32"/>
    </row>
    <row r="278" spans="1:64" x14ac:dyDescent="0.2">
      <c r="A278" s="79" t="s">
        <v>219</v>
      </c>
      <c r="B278" s="79" t="s">
        <v>353</v>
      </c>
      <c r="C278" s="194" t="s">
        <v>505</v>
      </c>
      <c r="D278" s="195"/>
      <c r="E278" s="195"/>
      <c r="F278" s="79" t="s">
        <v>1049</v>
      </c>
      <c r="G278" s="80">
        <v>7.2900000000000006E-2</v>
      </c>
      <c r="H278" s="80">
        <v>0</v>
      </c>
      <c r="I278" s="80">
        <f>G278*AO278</f>
        <v>0</v>
      </c>
      <c r="J278" s="80">
        <f>G278*AP278</f>
        <v>0</v>
      </c>
      <c r="K278" s="80">
        <f>G278*H278</f>
        <v>0</v>
      </c>
      <c r="L278" s="80">
        <f>G278*278</f>
        <v>20.266200000000001</v>
      </c>
      <c r="M278" s="94" t="s">
        <v>1066</v>
      </c>
      <c r="N278" s="32"/>
      <c r="Z278" s="11">
        <f>IF(AQ278="5",BJ278,0)</f>
        <v>0</v>
      </c>
      <c r="AB278" s="11">
        <f>IF(AQ278="1",BH278,0)</f>
        <v>0</v>
      </c>
      <c r="AC278" s="11">
        <f>IF(AQ278="1",BI278,0)</f>
        <v>0</v>
      </c>
      <c r="AD278" s="11">
        <f>IF(AQ278="7",BH278,0)</f>
        <v>0</v>
      </c>
      <c r="AE278" s="11">
        <f>IF(AQ278="7",BI278,0)</f>
        <v>0</v>
      </c>
      <c r="AF278" s="11">
        <f>IF(AQ278="2",BH278,0)</f>
        <v>0</v>
      </c>
      <c r="AG278" s="11">
        <f>IF(AQ278="2",BI278,0)</f>
        <v>0</v>
      </c>
      <c r="AH278" s="11">
        <f>IF(AQ278="0",BJ278,0)</f>
        <v>0</v>
      </c>
      <c r="AI278" s="26" t="s">
        <v>77</v>
      </c>
      <c r="AJ278" s="20">
        <f>IF(AN278=0,K278,0)</f>
        <v>0</v>
      </c>
      <c r="AK278" s="20">
        <f>IF(AN278=15,K278,0)</f>
        <v>0</v>
      </c>
      <c r="AL278" s="20">
        <f>IF(AN278=21,K278,0)</f>
        <v>0</v>
      </c>
      <c r="AN278" s="11">
        <v>21</v>
      </c>
      <c r="AO278" s="11">
        <f>H278*0.563204</f>
        <v>0</v>
      </c>
      <c r="AP278" s="11">
        <f>H278*(1-0.563204)</f>
        <v>0</v>
      </c>
      <c r="AQ278" s="27" t="s">
        <v>138</v>
      </c>
      <c r="AV278" s="11">
        <f>AW278+AX278</f>
        <v>0</v>
      </c>
      <c r="AW278" s="11">
        <f>G278*AO278</f>
        <v>0</v>
      </c>
      <c r="AX278" s="11">
        <f>G278*AP278</f>
        <v>0</v>
      </c>
      <c r="AY278" s="29" t="s">
        <v>1077</v>
      </c>
      <c r="AZ278" s="29" t="s">
        <v>1111</v>
      </c>
      <c r="BA278" s="26" t="s">
        <v>1129</v>
      </c>
      <c r="BB278" s="26" t="s">
        <v>1134</v>
      </c>
      <c r="BC278" s="11">
        <f>AW278+AX278</f>
        <v>0</v>
      </c>
      <c r="BD278" s="11">
        <f>H278/(100-BE278)*100</f>
        <v>0</v>
      </c>
      <c r="BE278" s="11">
        <v>0</v>
      </c>
      <c r="BF278" s="11">
        <f>L278</f>
        <v>20.266200000000001</v>
      </c>
      <c r="BH278" s="20">
        <f>G278*AO278</f>
        <v>0</v>
      </c>
      <c r="BI278" s="20">
        <f>G278*AP278</f>
        <v>0</v>
      </c>
      <c r="BJ278" s="20">
        <f>G278*H278</f>
        <v>0</v>
      </c>
      <c r="BK278" s="20" t="s">
        <v>1164</v>
      </c>
      <c r="BL278" s="11">
        <v>31</v>
      </c>
    </row>
    <row r="279" spans="1:64" x14ac:dyDescent="0.2">
      <c r="A279" s="35"/>
      <c r="B279" s="86" t="s">
        <v>354</v>
      </c>
      <c r="C279" s="196" t="s">
        <v>506</v>
      </c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32"/>
    </row>
    <row r="280" spans="1:64" x14ac:dyDescent="0.2">
      <c r="A280" s="35"/>
      <c r="B280" s="36"/>
      <c r="C280" s="81" t="s">
        <v>716</v>
      </c>
      <c r="D280" s="36"/>
      <c r="E280" s="82" t="s">
        <v>901</v>
      </c>
      <c r="F280" s="36"/>
      <c r="G280" s="83">
        <v>7.2900000000000006E-2</v>
      </c>
      <c r="H280" s="36"/>
      <c r="I280" s="36"/>
      <c r="J280" s="36"/>
      <c r="K280" s="36"/>
      <c r="L280" s="36"/>
      <c r="M280" s="35"/>
      <c r="N280" s="32"/>
    </row>
    <row r="281" spans="1:64" x14ac:dyDescent="0.2">
      <c r="A281" s="79" t="s">
        <v>220</v>
      </c>
      <c r="B281" s="79" t="s">
        <v>355</v>
      </c>
      <c r="C281" s="194" t="s">
        <v>509</v>
      </c>
      <c r="D281" s="195"/>
      <c r="E281" s="195"/>
      <c r="F281" s="79" t="s">
        <v>1049</v>
      </c>
      <c r="G281" s="80">
        <v>1.044</v>
      </c>
      <c r="H281" s="80">
        <v>0</v>
      </c>
      <c r="I281" s="80">
        <f>G281*AO281</f>
        <v>0</v>
      </c>
      <c r="J281" s="80">
        <f>G281*AP281</f>
        <v>0</v>
      </c>
      <c r="K281" s="80">
        <f>G281*H281</f>
        <v>0</v>
      </c>
      <c r="L281" s="80">
        <f>G281*281</f>
        <v>293.36400000000003</v>
      </c>
      <c r="M281" s="94" t="s">
        <v>1066</v>
      </c>
      <c r="N281" s="32"/>
      <c r="Z281" s="11">
        <f>IF(AQ281="5",BJ281,0)</f>
        <v>0</v>
      </c>
      <c r="AB281" s="11">
        <f>IF(AQ281="1",BH281,0)</f>
        <v>0</v>
      </c>
      <c r="AC281" s="11">
        <f>IF(AQ281="1",BI281,0)</f>
        <v>0</v>
      </c>
      <c r="AD281" s="11">
        <f>IF(AQ281="7",BH281,0)</f>
        <v>0</v>
      </c>
      <c r="AE281" s="11">
        <f>IF(AQ281="7",BI281,0)</f>
        <v>0</v>
      </c>
      <c r="AF281" s="11">
        <f>IF(AQ281="2",BH281,0)</f>
        <v>0</v>
      </c>
      <c r="AG281" s="11">
        <f>IF(AQ281="2",BI281,0)</f>
        <v>0</v>
      </c>
      <c r="AH281" s="11">
        <f>IF(AQ281="0",BJ281,0)</f>
        <v>0</v>
      </c>
      <c r="AI281" s="26" t="s">
        <v>77</v>
      </c>
      <c r="AJ281" s="20">
        <f>IF(AN281=0,K281,0)</f>
        <v>0</v>
      </c>
      <c r="AK281" s="20">
        <f>IF(AN281=15,K281,0)</f>
        <v>0</v>
      </c>
      <c r="AL281" s="20">
        <f>IF(AN281=21,K281,0)</f>
        <v>0</v>
      </c>
      <c r="AN281" s="11">
        <v>21</v>
      </c>
      <c r="AO281" s="11">
        <f>H281*0.596721419125831</f>
        <v>0</v>
      </c>
      <c r="AP281" s="11">
        <f>H281*(1-0.596721419125831)</f>
        <v>0</v>
      </c>
      <c r="AQ281" s="27" t="s">
        <v>138</v>
      </c>
      <c r="AV281" s="11">
        <f>AW281+AX281</f>
        <v>0</v>
      </c>
      <c r="AW281" s="11">
        <f>G281*AO281</f>
        <v>0</v>
      </c>
      <c r="AX281" s="11">
        <f>G281*AP281</f>
        <v>0</v>
      </c>
      <c r="AY281" s="29" t="s">
        <v>1077</v>
      </c>
      <c r="AZ281" s="29" t="s">
        <v>1111</v>
      </c>
      <c r="BA281" s="26" t="s">
        <v>1129</v>
      </c>
      <c r="BB281" s="26" t="s">
        <v>1134</v>
      </c>
      <c r="BC281" s="11">
        <f>AW281+AX281</f>
        <v>0</v>
      </c>
      <c r="BD281" s="11">
        <f>H281/(100-BE281)*100</f>
        <v>0</v>
      </c>
      <c r="BE281" s="11">
        <v>0</v>
      </c>
      <c r="BF281" s="11">
        <f>L281</f>
        <v>293.36400000000003</v>
      </c>
      <c r="BH281" s="20">
        <f>G281*AO281</f>
        <v>0</v>
      </c>
      <c r="BI281" s="20">
        <f>G281*AP281</f>
        <v>0</v>
      </c>
      <c r="BJ281" s="20">
        <f>G281*H281</f>
        <v>0</v>
      </c>
      <c r="BK281" s="20" t="s">
        <v>1164</v>
      </c>
      <c r="BL281" s="11">
        <v>31</v>
      </c>
    </row>
    <row r="282" spans="1:64" x14ac:dyDescent="0.2">
      <c r="A282" s="35"/>
      <c r="B282" s="36"/>
      <c r="C282" s="81" t="s">
        <v>717</v>
      </c>
      <c r="D282" s="36"/>
      <c r="E282" s="82" t="s">
        <v>987</v>
      </c>
      <c r="F282" s="36"/>
      <c r="G282" s="83">
        <v>1.044</v>
      </c>
      <c r="H282" s="36"/>
      <c r="I282" s="36"/>
      <c r="J282" s="36"/>
      <c r="K282" s="36"/>
      <c r="L282" s="36"/>
      <c r="M282" s="35"/>
      <c r="N282" s="32"/>
    </row>
    <row r="283" spans="1:64" x14ac:dyDescent="0.2">
      <c r="A283" s="84" t="s">
        <v>221</v>
      </c>
      <c r="B283" s="84" t="s">
        <v>352</v>
      </c>
      <c r="C283" s="198" t="s">
        <v>502</v>
      </c>
      <c r="D283" s="199"/>
      <c r="E283" s="199"/>
      <c r="F283" s="84" t="s">
        <v>1048</v>
      </c>
      <c r="G283" s="85">
        <v>8.5690000000000002E-2</v>
      </c>
      <c r="H283" s="85">
        <v>0</v>
      </c>
      <c r="I283" s="85">
        <f>G283*AO283</f>
        <v>0</v>
      </c>
      <c r="J283" s="85">
        <f>G283*AP283</f>
        <v>0</v>
      </c>
      <c r="K283" s="85">
        <f>G283*H283</f>
        <v>0</v>
      </c>
      <c r="L283" s="85">
        <f>G283*283</f>
        <v>24.25027</v>
      </c>
      <c r="M283" s="95" t="s">
        <v>1066</v>
      </c>
      <c r="N283" s="32"/>
      <c r="Z283" s="11">
        <f>IF(AQ283="5",BJ283,0)</f>
        <v>0</v>
      </c>
      <c r="AB283" s="11">
        <f>IF(AQ283="1",BH283,0)</f>
        <v>0</v>
      </c>
      <c r="AC283" s="11">
        <f>IF(AQ283="1",BI283,0)</f>
        <v>0</v>
      </c>
      <c r="AD283" s="11">
        <f>IF(AQ283="7",BH283,0)</f>
        <v>0</v>
      </c>
      <c r="AE283" s="11">
        <f>IF(AQ283="7",BI283,0)</f>
        <v>0</v>
      </c>
      <c r="AF283" s="11">
        <f>IF(AQ283="2",BH283,0)</f>
        <v>0</v>
      </c>
      <c r="AG283" s="11">
        <f>IF(AQ283="2",BI283,0)</f>
        <v>0</v>
      </c>
      <c r="AH283" s="11">
        <f>IF(AQ283="0",BJ283,0)</f>
        <v>0</v>
      </c>
      <c r="AI283" s="26" t="s">
        <v>77</v>
      </c>
      <c r="AJ283" s="21">
        <f>IF(AN283=0,K283,0)</f>
        <v>0</v>
      </c>
      <c r="AK283" s="21">
        <f>IF(AN283=15,K283,0)</f>
        <v>0</v>
      </c>
      <c r="AL283" s="21">
        <f>IF(AN283=21,K283,0)</f>
        <v>0</v>
      </c>
      <c r="AN283" s="11">
        <v>21</v>
      </c>
      <c r="AO283" s="11">
        <f>H283*1</f>
        <v>0</v>
      </c>
      <c r="AP283" s="11">
        <f>H283*(1-1)</f>
        <v>0</v>
      </c>
      <c r="AQ283" s="28" t="s">
        <v>138</v>
      </c>
      <c r="AV283" s="11">
        <f>AW283+AX283</f>
        <v>0</v>
      </c>
      <c r="AW283" s="11">
        <f>G283*AO283</f>
        <v>0</v>
      </c>
      <c r="AX283" s="11">
        <f>G283*AP283</f>
        <v>0</v>
      </c>
      <c r="AY283" s="29" t="s">
        <v>1077</v>
      </c>
      <c r="AZ283" s="29" t="s">
        <v>1111</v>
      </c>
      <c r="BA283" s="26" t="s">
        <v>1129</v>
      </c>
      <c r="BC283" s="11">
        <f>AW283+AX283</f>
        <v>0</v>
      </c>
      <c r="BD283" s="11">
        <f>H283/(100-BE283)*100</f>
        <v>0</v>
      </c>
      <c r="BE283" s="11">
        <v>0</v>
      </c>
      <c r="BF283" s="11">
        <f>L283</f>
        <v>24.25027</v>
      </c>
      <c r="BH283" s="21">
        <f>G283*AO283</f>
        <v>0</v>
      </c>
      <c r="BI283" s="21">
        <f>G283*AP283</f>
        <v>0</v>
      </c>
      <c r="BJ283" s="21">
        <f>G283*H283</f>
        <v>0</v>
      </c>
      <c r="BK283" s="21" t="s">
        <v>1165</v>
      </c>
      <c r="BL283" s="11">
        <v>31</v>
      </c>
    </row>
    <row r="284" spans="1:64" x14ac:dyDescent="0.2">
      <c r="A284" s="35"/>
      <c r="B284" s="36"/>
      <c r="C284" s="81" t="s">
        <v>718</v>
      </c>
      <c r="D284" s="36"/>
      <c r="E284" s="82"/>
      <c r="F284" s="36"/>
      <c r="G284" s="83">
        <v>8.0079999999999998E-2</v>
      </c>
      <c r="H284" s="36"/>
      <c r="I284" s="36"/>
      <c r="J284" s="36"/>
      <c r="K284" s="36"/>
      <c r="L284" s="36"/>
      <c r="M284" s="35"/>
      <c r="N284" s="32"/>
    </row>
    <row r="285" spans="1:64" x14ac:dyDescent="0.2">
      <c r="A285" s="35"/>
      <c r="B285" s="36"/>
      <c r="C285" s="81" t="s">
        <v>719</v>
      </c>
      <c r="D285" s="36"/>
      <c r="E285" s="82"/>
      <c r="F285" s="36"/>
      <c r="G285" s="83">
        <v>5.6100000000000004E-3</v>
      </c>
      <c r="H285" s="36"/>
      <c r="I285" s="36"/>
      <c r="J285" s="36"/>
      <c r="K285" s="36"/>
      <c r="L285" s="36"/>
      <c r="M285" s="35"/>
      <c r="N285" s="32"/>
    </row>
    <row r="286" spans="1:64" x14ac:dyDescent="0.2">
      <c r="A286" s="77"/>
      <c r="B286" s="76" t="s">
        <v>86</v>
      </c>
      <c r="C286" s="204" t="s">
        <v>112</v>
      </c>
      <c r="D286" s="205"/>
      <c r="E286" s="205"/>
      <c r="F286" s="77" t="s">
        <v>60</v>
      </c>
      <c r="G286" s="77" t="s">
        <v>60</v>
      </c>
      <c r="H286" s="77" t="s">
        <v>60</v>
      </c>
      <c r="I286" s="78">
        <f>SUM(I287:I311)</f>
        <v>0</v>
      </c>
      <c r="J286" s="78">
        <f>SUM(J287:J311)</f>
        <v>0</v>
      </c>
      <c r="K286" s="78">
        <f>SUM(K287:K311)</f>
        <v>0</v>
      </c>
      <c r="L286" s="78">
        <f>SUM(L287:L311)</f>
        <v>69804.054000000004</v>
      </c>
      <c r="M286" s="93"/>
      <c r="N286" s="32"/>
      <c r="AI286" s="26" t="s">
        <v>77</v>
      </c>
      <c r="AS286" s="31">
        <f>SUM(AJ287:AJ311)</f>
        <v>0</v>
      </c>
      <c r="AT286" s="31">
        <f>SUM(AK287:AK311)</f>
        <v>0</v>
      </c>
      <c r="AU286" s="31">
        <f>SUM(AL287:AL311)</f>
        <v>0</v>
      </c>
    </row>
    <row r="287" spans="1:64" x14ac:dyDescent="0.2">
      <c r="A287" s="79" t="s">
        <v>102</v>
      </c>
      <c r="B287" s="79" t="s">
        <v>363</v>
      </c>
      <c r="C287" s="194" t="s">
        <v>537</v>
      </c>
      <c r="D287" s="195"/>
      <c r="E287" s="195"/>
      <c r="F287" s="79" t="s">
        <v>1050</v>
      </c>
      <c r="G287" s="80">
        <v>0.9</v>
      </c>
      <c r="H287" s="80">
        <v>0</v>
      </c>
      <c r="I287" s="80">
        <f>G287*AO287</f>
        <v>0</v>
      </c>
      <c r="J287" s="80">
        <f>G287*AP287</f>
        <v>0</v>
      </c>
      <c r="K287" s="80">
        <f>G287*H287</f>
        <v>0</v>
      </c>
      <c r="L287" s="80">
        <f>G287*287</f>
        <v>258.3</v>
      </c>
      <c r="M287" s="94" t="s">
        <v>1066</v>
      </c>
      <c r="N287" s="32"/>
      <c r="Z287" s="11">
        <f>IF(AQ287="5",BJ287,0)</f>
        <v>0</v>
      </c>
      <c r="AB287" s="11">
        <f>IF(AQ287="1",BH287,0)</f>
        <v>0</v>
      </c>
      <c r="AC287" s="11">
        <f>IF(AQ287="1",BI287,0)</f>
        <v>0</v>
      </c>
      <c r="AD287" s="11">
        <f>IF(AQ287="7",BH287,0)</f>
        <v>0</v>
      </c>
      <c r="AE287" s="11">
        <f>IF(AQ287="7",BI287,0)</f>
        <v>0</v>
      </c>
      <c r="AF287" s="11">
        <f>IF(AQ287="2",BH287,0)</f>
        <v>0</v>
      </c>
      <c r="AG287" s="11">
        <f>IF(AQ287="2",BI287,0)</f>
        <v>0</v>
      </c>
      <c r="AH287" s="11">
        <f>IF(AQ287="0",BJ287,0)</f>
        <v>0</v>
      </c>
      <c r="AI287" s="26" t="s">
        <v>77</v>
      </c>
      <c r="AJ287" s="20">
        <f>IF(AN287=0,K287,0)</f>
        <v>0</v>
      </c>
      <c r="AK287" s="20">
        <f>IF(AN287=15,K287,0)</f>
        <v>0</v>
      </c>
      <c r="AL287" s="20">
        <f>IF(AN287=21,K287,0)</f>
        <v>0</v>
      </c>
      <c r="AN287" s="11">
        <v>21</v>
      </c>
      <c r="AO287" s="11">
        <f>H287*0.247439024390244</f>
        <v>0</v>
      </c>
      <c r="AP287" s="11">
        <f>H287*(1-0.247439024390244)</f>
        <v>0</v>
      </c>
      <c r="AQ287" s="27" t="s">
        <v>138</v>
      </c>
      <c r="AV287" s="11">
        <f>AW287+AX287</f>
        <v>0</v>
      </c>
      <c r="AW287" s="11">
        <f>G287*AO287</f>
        <v>0</v>
      </c>
      <c r="AX287" s="11">
        <f>G287*AP287</f>
        <v>0</v>
      </c>
      <c r="AY287" s="29" t="s">
        <v>1079</v>
      </c>
      <c r="AZ287" s="29" t="s">
        <v>1112</v>
      </c>
      <c r="BA287" s="26" t="s">
        <v>1129</v>
      </c>
      <c r="BB287" s="26" t="s">
        <v>1136</v>
      </c>
      <c r="BC287" s="11">
        <f>AW287+AX287</f>
        <v>0</v>
      </c>
      <c r="BD287" s="11">
        <f>H287/(100-BE287)*100</f>
        <v>0</v>
      </c>
      <c r="BE287" s="11">
        <v>0</v>
      </c>
      <c r="BF287" s="11">
        <f>L287</f>
        <v>258.3</v>
      </c>
      <c r="BH287" s="20">
        <f>G287*AO287</f>
        <v>0</v>
      </c>
      <c r="BI287" s="20">
        <f>G287*AP287</f>
        <v>0</v>
      </c>
      <c r="BJ287" s="20">
        <f>G287*H287</f>
        <v>0</v>
      </c>
      <c r="BK287" s="20" t="s">
        <v>1164</v>
      </c>
      <c r="BL287" s="11">
        <v>61</v>
      </c>
    </row>
    <row r="288" spans="1:64" x14ac:dyDescent="0.2">
      <c r="A288" s="35"/>
      <c r="B288" s="86" t="s">
        <v>354</v>
      </c>
      <c r="C288" s="196" t="s">
        <v>538</v>
      </c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32"/>
    </row>
    <row r="289" spans="1:64" x14ac:dyDescent="0.2">
      <c r="A289" s="35"/>
      <c r="B289" s="36"/>
      <c r="C289" s="81" t="s">
        <v>720</v>
      </c>
      <c r="D289" s="36"/>
      <c r="E289" s="82" t="s">
        <v>916</v>
      </c>
      <c r="F289" s="36"/>
      <c r="G289" s="83">
        <v>0.9</v>
      </c>
      <c r="H289" s="36"/>
      <c r="I289" s="36"/>
      <c r="J289" s="36"/>
      <c r="K289" s="36"/>
      <c r="L289" s="36"/>
      <c r="M289" s="35"/>
      <c r="N289" s="32"/>
    </row>
    <row r="290" spans="1:64" x14ac:dyDescent="0.2">
      <c r="A290" s="79" t="s">
        <v>222</v>
      </c>
      <c r="B290" s="79" t="s">
        <v>364</v>
      </c>
      <c r="C290" s="194" t="s">
        <v>540</v>
      </c>
      <c r="D290" s="195"/>
      <c r="E290" s="195"/>
      <c r="F290" s="79" t="s">
        <v>1050</v>
      </c>
      <c r="G290" s="80">
        <v>34.513599999999997</v>
      </c>
      <c r="H290" s="80">
        <v>0</v>
      </c>
      <c r="I290" s="80">
        <f>G290*AO290</f>
        <v>0</v>
      </c>
      <c r="J290" s="80">
        <f>G290*AP290</f>
        <v>0</v>
      </c>
      <c r="K290" s="80">
        <f>G290*H290</f>
        <v>0</v>
      </c>
      <c r="L290" s="80">
        <f>G290*290</f>
        <v>10008.944</v>
      </c>
      <c r="M290" s="94" t="s">
        <v>1066</v>
      </c>
      <c r="N290" s="32"/>
      <c r="Z290" s="11">
        <f>IF(AQ290="5",BJ290,0)</f>
        <v>0</v>
      </c>
      <c r="AB290" s="11">
        <f>IF(AQ290="1",BH290,0)</f>
        <v>0</v>
      </c>
      <c r="AC290" s="11">
        <f>IF(AQ290="1",BI290,0)</f>
        <v>0</v>
      </c>
      <c r="AD290" s="11">
        <f>IF(AQ290="7",BH290,0)</f>
        <v>0</v>
      </c>
      <c r="AE290" s="11">
        <f>IF(AQ290="7",BI290,0)</f>
        <v>0</v>
      </c>
      <c r="AF290" s="11">
        <f>IF(AQ290="2",BH290,0)</f>
        <v>0</v>
      </c>
      <c r="AG290" s="11">
        <f>IF(AQ290="2",BI290,0)</f>
        <v>0</v>
      </c>
      <c r="AH290" s="11">
        <f>IF(AQ290="0",BJ290,0)</f>
        <v>0</v>
      </c>
      <c r="AI290" s="26" t="s">
        <v>77</v>
      </c>
      <c r="AJ290" s="20">
        <f>IF(AN290=0,K290,0)</f>
        <v>0</v>
      </c>
      <c r="AK290" s="20">
        <f>IF(AN290=15,K290,0)</f>
        <v>0</v>
      </c>
      <c r="AL290" s="20">
        <f>IF(AN290=21,K290,0)</f>
        <v>0</v>
      </c>
      <c r="AN290" s="11">
        <v>21</v>
      </c>
      <c r="AO290" s="11">
        <f>H290*0.2711938853873</f>
        <v>0</v>
      </c>
      <c r="AP290" s="11">
        <f>H290*(1-0.2711938853873)</f>
        <v>0</v>
      </c>
      <c r="AQ290" s="27" t="s">
        <v>138</v>
      </c>
      <c r="AV290" s="11">
        <f>AW290+AX290</f>
        <v>0</v>
      </c>
      <c r="AW290" s="11">
        <f>G290*AO290</f>
        <v>0</v>
      </c>
      <c r="AX290" s="11">
        <f>G290*AP290</f>
        <v>0</v>
      </c>
      <c r="AY290" s="29" t="s">
        <v>1079</v>
      </c>
      <c r="AZ290" s="29" t="s">
        <v>1112</v>
      </c>
      <c r="BA290" s="26" t="s">
        <v>1129</v>
      </c>
      <c r="BB290" s="26" t="s">
        <v>1136</v>
      </c>
      <c r="BC290" s="11">
        <f>AW290+AX290</f>
        <v>0</v>
      </c>
      <c r="BD290" s="11">
        <f>H290/(100-BE290)*100</f>
        <v>0</v>
      </c>
      <c r="BE290" s="11">
        <v>0</v>
      </c>
      <c r="BF290" s="11">
        <f>L290</f>
        <v>10008.944</v>
      </c>
      <c r="BH290" s="20">
        <f>G290*AO290</f>
        <v>0</v>
      </c>
      <c r="BI290" s="20">
        <f>G290*AP290</f>
        <v>0</v>
      </c>
      <c r="BJ290" s="20">
        <f>G290*H290</f>
        <v>0</v>
      </c>
      <c r="BK290" s="20" t="s">
        <v>1164</v>
      </c>
      <c r="BL290" s="11">
        <v>61</v>
      </c>
    </row>
    <row r="291" spans="1:64" x14ac:dyDescent="0.2">
      <c r="A291" s="35"/>
      <c r="B291" s="86" t="s">
        <v>354</v>
      </c>
      <c r="C291" s="196" t="s">
        <v>538</v>
      </c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32"/>
    </row>
    <row r="292" spans="1:64" x14ac:dyDescent="0.2">
      <c r="A292" s="35"/>
      <c r="B292" s="36"/>
      <c r="C292" s="81" t="s">
        <v>721</v>
      </c>
      <c r="D292" s="36"/>
      <c r="E292" s="82" t="s">
        <v>988</v>
      </c>
      <c r="F292" s="36"/>
      <c r="G292" s="83">
        <v>32.216799999999999</v>
      </c>
      <c r="H292" s="36"/>
      <c r="I292" s="36"/>
      <c r="J292" s="36"/>
      <c r="K292" s="36"/>
      <c r="L292" s="36"/>
      <c r="M292" s="35"/>
      <c r="N292" s="32"/>
    </row>
    <row r="293" spans="1:64" x14ac:dyDescent="0.2">
      <c r="A293" s="35"/>
      <c r="B293" s="36"/>
      <c r="C293" s="81" t="s">
        <v>722</v>
      </c>
      <c r="D293" s="36"/>
      <c r="E293" s="82" t="s">
        <v>989</v>
      </c>
      <c r="F293" s="36"/>
      <c r="G293" s="83">
        <v>2.2968000000000002</v>
      </c>
      <c r="H293" s="36"/>
      <c r="I293" s="36"/>
      <c r="J293" s="36"/>
      <c r="K293" s="36"/>
      <c r="L293" s="36"/>
      <c r="M293" s="35"/>
      <c r="N293" s="32"/>
    </row>
    <row r="294" spans="1:64" x14ac:dyDescent="0.2">
      <c r="A294" s="79" t="s">
        <v>223</v>
      </c>
      <c r="B294" s="79" t="s">
        <v>365</v>
      </c>
      <c r="C294" s="194" t="s">
        <v>543</v>
      </c>
      <c r="D294" s="195"/>
      <c r="E294" s="195"/>
      <c r="F294" s="79" t="s">
        <v>1050</v>
      </c>
      <c r="G294" s="80">
        <v>5.32</v>
      </c>
      <c r="H294" s="80">
        <v>0</v>
      </c>
      <c r="I294" s="80">
        <f>G294*AO294</f>
        <v>0</v>
      </c>
      <c r="J294" s="80">
        <f>G294*AP294</f>
        <v>0</v>
      </c>
      <c r="K294" s="80">
        <f>G294*H294</f>
        <v>0</v>
      </c>
      <c r="L294" s="80">
        <f>G294*294</f>
        <v>1564.0800000000002</v>
      </c>
      <c r="M294" s="94" t="s">
        <v>1066</v>
      </c>
      <c r="N294" s="32"/>
      <c r="Z294" s="11">
        <f>IF(AQ294="5",BJ294,0)</f>
        <v>0</v>
      </c>
      <c r="AB294" s="11">
        <f>IF(AQ294="1",BH294,0)</f>
        <v>0</v>
      </c>
      <c r="AC294" s="11">
        <f>IF(AQ294="1",BI294,0)</f>
        <v>0</v>
      </c>
      <c r="AD294" s="11">
        <f>IF(AQ294="7",BH294,0)</f>
        <v>0</v>
      </c>
      <c r="AE294" s="11">
        <f>IF(AQ294="7",BI294,0)</f>
        <v>0</v>
      </c>
      <c r="AF294" s="11">
        <f>IF(AQ294="2",BH294,0)</f>
        <v>0</v>
      </c>
      <c r="AG294" s="11">
        <f>IF(AQ294="2",BI294,0)</f>
        <v>0</v>
      </c>
      <c r="AH294" s="11">
        <f>IF(AQ294="0",BJ294,0)</f>
        <v>0</v>
      </c>
      <c r="AI294" s="26" t="s">
        <v>77</v>
      </c>
      <c r="AJ294" s="20">
        <f>IF(AN294=0,K294,0)</f>
        <v>0</v>
      </c>
      <c r="AK294" s="20">
        <f>IF(AN294=15,K294,0)</f>
        <v>0</v>
      </c>
      <c r="AL294" s="20">
        <f>IF(AN294=21,K294,0)</f>
        <v>0</v>
      </c>
      <c r="AN294" s="11">
        <v>21</v>
      </c>
      <c r="AO294" s="11">
        <f>H294*0.244240506329114</f>
        <v>0</v>
      </c>
      <c r="AP294" s="11">
        <f>H294*(1-0.244240506329114)</f>
        <v>0</v>
      </c>
      <c r="AQ294" s="27" t="s">
        <v>138</v>
      </c>
      <c r="AV294" s="11">
        <f>AW294+AX294</f>
        <v>0</v>
      </c>
      <c r="AW294" s="11">
        <f>G294*AO294</f>
        <v>0</v>
      </c>
      <c r="AX294" s="11">
        <f>G294*AP294</f>
        <v>0</v>
      </c>
      <c r="AY294" s="29" t="s">
        <v>1079</v>
      </c>
      <c r="AZ294" s="29" t="s">
        <v>1112</v>
      </c>
      <c r="BA294" s="26" t="s">
        <v>1129</v>
      </c>
      <c r="BB294" s="26" t="s">
        <v>1136</v>
      </c>
      <c r="BC294" s="11">
        <f>AW294+AX294</f>
        <v>0</v>
      </c>
      <c r="BD294" s="11">
        <f>H294/(100-BE294)*100</f>
        <v>0</v>
      </c>
      <c r="BE294" s="11">
        <v>0</v>
      </c>
      <c r="BF294" s="11">
        <f>L294</f>
        <v>1564.0800000000002</v>
      </c>
      <c r="BH294" s="20">
        <f>G294*AO294</f>
        <v>0</v>
      </c>
      <c r="BI294" s="20">
        <f>G294*AP294</f>
        <v>0</v>
      </c>
      <c r="BJ294" s="20">
        <f>G294*H294</f>
        <v>0</v>
      </c>
      <c r="BK294" s="20" t="s">
        <v>1164</v>
      </c>
      <c r="BL294" s="11">
        <v>61</v>
      </c>
    </row>
    <row r="295" spans="1:64" x14ac:dyDescent="0.2">
      <c r="A295" s="35"/>
      <c r="B295" s="86" t="s">
        <v>354</v>
      </c>
      <c r="C295" s="196" t="s">
        <v>506</v>
      </c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32"/>
    </row>
    <row r="296" spans="1:64" x14ac:dyDescent="0.2">
      <c r="A296" s="35"/>
      <c r="B296" s="36"/>
      <c r="C296" s="81" t="s">
        <v>545</v>
      </c>
      <c r="D296" s="36"/>
      <c r="E296" s="82" t="s">
        <v>990</v>
      </c>
      <c r="F296" s="36"/>
      <c r="G296" s="83">
        <v>3.25</v>
      </c>
      <c r="H296" s="36"/>
      <c r="I296" s="36"/>
      <c r="J296" s="36"/>
      <c r="K296" s="36"/>
      <c r="L296" s="36"/>
      <c r="M296" s="35"/>
      <c r="N296" s="32"/>
    </row>
    <row r="297" spans="1:64" x14ac:dyDescent="0.2">
      <c r="A297" s="35"/>
      <c r="B297" s="36"/>
      <c r="C297" s="81" t="s">
        <v>723</v>
      </c>
      <c r="D297" s="36"/>
      <c r="E297" s="82" t="s">
        <v>922</v>
      </c>
      <c r="F297" s="36"/>
      <c r="G297" s="83">
        <v>2.0699999999999998</v>
      </c>
      <c r="H297" s="36"/>
      <c r="I297" s="36"/>
      <c r="J297" s="36"/>
      <c r="K297" s="36"/>
      <c r="L297" s="36"/>
      <c r="M297" s="35"/>
      <c r="N297" s="32"/>
    </row>
    <row r="298" spans="1:64" x14ac:dyDescent="0.2">
      <c r="A298" s="79" t="s">
        <v>224</v>
      </c>
      <c r="B298" s="79" t="s">
        <v>366</v>
      </c>
      <c r="C298" s="194" t="s">
        <v>547</v>
      </c>
      <c r="D298" s="195"/>
      <c r="E298" s="195"/>
      <c r="F298" s="79" t="s">
        <v>1050</v>
      </c>
      <c r="G298" s="80">
        <v>13.8</v>
      </c>
      <c r="H298" s="80">
        <v>0</v>
      </c>
      <c r="I298" s="80">
        <f>G298*AO298</f>
        <v>0</v>
      </c>
      <c r="J298" s="80">
        <f>G298*AP298</f>
        <v>0</v>
      </c>
      <c r="K298" s="80">
        <f>G298*H298</f>
        <v>0</v>
      </c>
      <c r="L298" s="80">
        <f>G298*298</f>
        <v>4112.4000000000005</v>
      </c>
      <c r="M298" s="94" t="s">
        <v>1066</v>
      </c>
      <c r="N298" s="32"/>
      <c r="Z298" s="11">
        <f>IF(AQ298="5",BJ298,0)</f>
        <v>0</v>
      </c>
      <c r="AB298" s="11">
        <f>IF(AQ298="1",BH298,0)</f>
        <v>0</v>
      </c>
      <c r="AC298" s="11">
        <f>IF(AQ298="1",BI298,0)</f>
        <v>0</v>
      </c>
      <c r="AD298" s="11">
        <f>IF(AQ298="7",BH298,0)</f>
        <v>0</v>
      </c>
      <c r="AE298" s="11">
        <f>IF(AQ298="7",BI298,0)</f>
        <v>0</v>
      </c>
      <c r="AF298" s="11">
        <f>IF(AQ298="2",BH298,0)</f>
        <v>0</v>
      </c>
      <c r="AG298" s="11">
        <f>IF(AQ298="2",BI298,0)</f>
        <v>0</v>
      </c>
      <c r="AH298" s="11">
        <f>IF(AQ298="0",BJ298,0)</f>
        <v>0</v>
      </c>
      <c r="AI298" s="26" t="s">
        <v>77</v>
      </c>
      <c r="AJ298" s="20">
        <f>IF(AN298=0,K298,0)</f>
        <v>0</v>
      </c>
      <c r="AK298" s="20">
        <f>IF(AN298=15,K298,0)</f>
        <v>0</v>
      </c>
      <c r="AL298" s="20">
        <f>IF(AN298=21,K298,0)</f>
        <v>0</v>
      </c>
      <c r="AN298" s="11">
        <v>21</v>
      </c>
      <c r="AO298" s="11">
        <f>H298*0.15740206185567</f>
        <v>0</v>
      </c>
      <c r="AP298" s="11">
        <f>H298*(1-0.15740206185567)</f>
        <v>0</v>
      </c>
      <c r="AQ298" s="27" t="s">
        <v>138</v>
      </c>
      <c r="AV298" s="11">
        <f>AW298+AX298</f>
        <v>0</v>
      </c>
      <c r="AW298" s="11">
        <f>G298*AO298</f>
        <v>0</v>
      </c>
      <c r="AX298" s="11">
        <f>G298*AP298</f>
        <v>0</v>
      </c>
      <c r="AY298" s="29" t="s">
        <v>1079</v>
      </c>
      <c r="AZ298" s="29" t="s">
        <v>1112</v>
      </c>
      <c r="BA298" s="26" t="s">
        <v>1129</v>
      </c>
      <c r="BB298" s="26" t="s">
        <v>1136</v>
      </c>
      <c r="BC298" s="11">
        <f>AW298+AX298</f>
        <v>0</v>
      </c>
      <c r="BD298" s="11">
        <f>H298/(100-BE298)*100</f>
        <v>0</v>
      </c>
      <c r="BE298" s="11">
        <v>0</v>
      </c>
      <c r="BF298" s="11">
        <f>L298</f>
        <v>4112.4000000000005</v>
      </c>
      <c r="BH298" s="20">
        <f>G298*AO298</f>
        <v>0</v>
      </c>
      <c r="BI298" s="20">
        <f>G298*AP298</f>
        <v>0</v>
      </c>
      <c r="BJ298" s="20">
        <f>G298*H298</f>
        <v>0</v>
      </c>
      <c r="BK298" s="20" t="s">
        <v>1164</v>
      </c>
      <c r="BL298" s="11">
        <v>61</v>
      </c>
    </row>
    <row r="299" spans="1:64" x14ac:dyDescent="0.2">
      <c r="A299" s="35"/>
      <c r="B299" s="36"/>
      <c r="C299" s="81" t="s">
        <v>724</v>
      </c>
      <c r="D299" s="36"/>
      <c r="E299" s="82" t="s">
        <v>991</v>
      </c>
      <c r="F299" s="36"/>
      <c r="G299" s="83">
        <v>13.8</v>
      </c>
      <c r="H299" s="36"/>
      <c r="I299" s="36"/>
      <c r="J299" s="36"/>
      <c r="K299" s="36"/>
      <c r="L299" s="36"/>
      <c r="M299" s="35"/>
      <c r="N299" s="32"/>
    </row>
    <row r="300" spans="1:64" x14ac:dyDescent="0.2">
      <c r="A300" s="79" t="s">
        <v>225</v>
      </c>
      <c r="B300" s="79" t="s">
        <v>367</v>
      </c>
      <c r="C300" s="194" t="s">
        <v>549</v>
      </c>
      <c r="D300" s="195"/>
      <c r="E300" s="195"/>
      <c r="F300" s="79" t="s">
        <v>1050</v>
      </c>
      <c r="G300" s="80">
        <v>169.5795</v>
      </c>
      <c r="H300" s="80">
        <v>0</v>
      </c>
      <c r="I300" s="80">
        <f>G300*AO300</f>
        <v>0</v>
      </c>
      <c r="J300" s="80">
        <f>G300*AP300</f>
        <v>0</v>
      </c>
      <c r="K300" s="80">
        <f>G300*H300</f>
        <v>0</v>
      </c>
      <c r="L300" s="80">
        <f>G300*300</f>
        <v>50873.85</v>
      </c>
      <c r="M300" s="94" t="s">
        <v>1066</v>
      </c>
      <c r="N300" s="32"/>
      <c r="Z300" s="11">
        <f>IF(AQ300="5",BJ300,0)</f>
        <v>0</v>
      </c>
      <c r="AB300" s="11">
        <f>IF(AQ300="1",BH300,0)</f>
        <v>0</v>
      </c>
      <c r="AC300" s="11">
        <f>IF(AQ300="1",BI300,0)</f>
        <v>0</v>
      </c>
      <c r="AD300" s="11">
        <f>IF(AQ300="7",BH300,0)</f>
        <v>0</v>
      </c>
      <c r="AE300" s="11">
        <f>IF(AQ300="7",BI300,0)</f>
        <v>0</v>
      </c>
      <c r="AF300" s="11">
        <f>IF(AQ300="2",BH300,0)</f>
        <v>0</v>
      </c>
      <c r="AG300" s="11">
        <f>IF(AQ300="2",BI300,0)</f>
        <v>0</v>
      </c>
      <c r="AH300" s="11">
        <f>IF(AQ300="0",BJ300,0)</f>
        <v>0</v>
      </c>
      <c r="AI300" s="26" t="s">
        <v>77</v>
      </c>
      <c r="AJ300" s="20">
        <f>IF(AN300=0,K300,0)</f>
        <v>0</v>
      </c>
      <c r="AK300" s="20">
        <f>IF(AN300=15,K300,0)</f>
        <v>0</v>
      </c>
      <c r="AL300" s="20">
        <f>IF(AN300=21,K300,0)</f>
        <v>0</v>
      </c>
      <c r="AN300" s="11">
        <v>21</v>
      </c>
      <c r="AO300" s="11">
        <f>H300*0.297197853870704</f>
        <v>0</v>
      </c>
      <c r="AP300" s="11">
        <f>H300*(1-0.297197853870704)</f>
        <v>0</v>
      </c>
      <c r="AQ300" s="27" t="s">
        <v>138</v>
      </c>
      <c r="AV300" s="11">
        <f>AW300+AX300</f>
        <v>0</v>
      </c>
      <c r="AW300" s="11">
        <f>G300*AO300</f>
        <v>0</v>
      </c>
      <c r="AX300" s="11">
        <f>G300*AP300</f>
        <v>0</v>
      </c>
      <c r="AY300" s="29" t="s">
        <v>1079</v>
      </c>
      <c r="AZ300" s="29" t="s">
        <v>1112</v>
      </c>
      <c r="BA300" s="26" t="s">
        <v>1129</v>
      </c>
      <c r="BB300" s="26" t="s">
        <v>1136</v>
      </c>
      <c r="BC300" s="11">
        <f>AW300+AX300</f>
        <v>0</v>
      </c>
      <c r="BD300" s="11">
        <f>H300/(100-BE300)*100</f>
        <v>0</v>
      </c>
      <c r="BE300" s="11">
        <v>0</v>
      </c>
      <c r="BF300" s="11">
        <f>L300</f>
        <v>50873.85</v>
      </c>
      <c r="BH300" s="20">
        <f>G300*AO300</f>
        <v>0</v>
      </c>
      <c r="BI300" s="20">
        <f>G300*AP300</f>
        <v>0</v>
      </c>
      <c r="BJ300" s="20">
        <f>G300*H300</f>
        <v>0</v>
      </c>
      <c r="BK300" s="20" t="s">
        <v>1164</v>
      </c>
      <c r="BL300" s="11">
        <v>61</v>
      </c>
    </row>
    <row r="301" spans="1:64" x14ac:dyDescent="0.2">
      <c r="A301" s="35"/>
      <c r="B301" s="86" t="s">
        <v>354</v>
      </c>
      <c r="C301" s="196" t="s">
        <v>550</v>
      </c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32"/>
    </row>
    <row r="302" spans="1:64" x14ac:dyDescent="0.2">
      <c r="A302" s="35"/>
      <c r="B302" s="36"/>
      <c r="C302" s="81" t="s">
        <v>725</v>
      </c>
      <c r="D302" s="36"/>
      <c r="E302" s="82" t="s">
        <v>924</v>
      </c>
      <c r="F302" s="36"/>
      <c r="G302" s="83">
        <v>16.759499999999999</v>
      </c>
      <c r="H302" s="36"/>
      <c r="I302" s="36"/>
      <c r="J302" s="36"/>
      <c r="K302" s="36"/>
      <c r="L302" s="36"/>
      <c r="M302" s="35"/>
      <c r="N302" s="32"/>
    </row>
    <row r="303" spans="1:64" x14ac:dyDescent="0.2">
      <c r="A303" s="35"/>
      <c r="B303" s="36"/>
      <c r="C303" s="81" t="s">
        <v>552</v>
      </c>
      <c r="D303" s="36"/>
      <c r="E303" s="82"/>
      <c r="F303" s="36"/>
      <c r="G303" s="83">
        <v>10.5</v>
      </c>
      <c r="H303" s="36"/>
      <c r="I303" s="36"/>
      <c r="J303" s="36"/>
      <c r="K303" s="36"/>
      <c r="L303" s="36"/>
      <c r="M303" s="35"/>
      <c r="N303" s="32"/>
    </row>
    <row r="304" spans="1:64" x14ac:dyDescent="0.2">
      <c r="A304" s="35"/>
      <c r="B304" s="36"/>
      <c r="C304" s="81" t="s">
        <v>726</v>
      </c>
      <c r="D304" s="36"/>
      <c r="E304" s="82" t="s">
        <v>926</v>
      </c>
      <c r="F304" s="36"/>
      <c r="G304" s="83">
        <v>142.32</v>
      </c>
      <c r="H304" s="36"/>
      <c r="I304" s="36"/>
      <c r="J304" s="36"/>
      <c r="K304" s="36"/>
      <c r="L304" s="36"/>
      <c r="M304" s="35"/>
      <c r="N304" s="32"/>
    </row>
    <row r="305" spans="1:64" x14ac:dyDescent="0.2">
      <c r="A305" s="79" t="s">
        <v>95</v>
      </c>
      <c r="B305" s="79" t="s">
        <v>368</v>
      </c>
      <c r="C305" s="194" t="s">
        <v>556</v>
      </c>
      <c r="D305" s="195"/>
      <c r="E305" s="195"/>
      <c r="F305" s="79" t="s">
        <v>1050</v>
      </c>
      <c r="G305" s="80">
        <v>2.3199999999999998</v>
      </c>
      <c r="H305" s="80">
        <v>0</v>
      </c>
      <c r="I305" s="80">
        <f>G305*AO305</f>
        <v>0</v>
      </c>
      <c r="J305" s="80">
        <f>G305*AP305</f>
        <v>0</v>
      </c>
      <c r="K305" s="80">
        <f>G305*H305</f>
        <v>0</v>
      </c>
      <c r="L305" s="80">
        <f>G305*305</f>
        <v>707.59999999999991</v>
      </c>
      <c r="M305" s="94" t="s">
        <v>1066</v>
      </c>
      <c r="N305" s="32"/>
      <c r="Z305" s="11">
        <f>IF(AQ305="5",BJ305,0)</f>
        <v>0</v>
      </c>
      <c r="AB305" s="11">
        <f>IF(AQ305="1",BH305,0)</f>
        <v>0</v>
      </c>
      <c r="AC305" s="11">
        <f>IF(AQ305="1",BI305,0)</f>
        <v>0</v>
      </c>
      <c r="AD305" s="11">
        <f>IF(AQ305="7",BH305,0)</f>
        <v>0</v>
      </c>
      <c r="AE305" s="11">
        <f>IF(AQ305="7",BI305,0)</f>
        <v>0</v>
      </c>
      <c r="AF305" s="11">
        <f>IF(AQ305="2",BH305,0)</f>
        <v>0</v>
      </c>
      <c r="AG305" s="11">
        <f>IF(AQ305="2",BI305,0)</f>
        <v>0</v>
      </c>
      <c r="AH305" s="11">
        <f>IF(AQ305="0",BJ305,0)</f>
        <v>0</v>
      </c>
      <c r="AI305" s="26" t="s">
        <v>77</v>
      </c>
      <c r="AJ305" s="20">
        <f>IF(AN305=0,K305,0)</f>
        <v>0</v>
      </c>
      <c r="AK305" s="20">
        <f>IF(AN305=15,K305,0)</f>
        <v>0</v>
      </c>
      <c r="AL305" s="20">
        <f>IF(AN305=21,K305,0)</f>
        <v>0</v>
      </c>
      <c r="AN305" s="11">
        <v>21</v>
      </c>
      <c r="AO305" s="11">
        <f>H305*0.253305810531864</f>
        <v>0</v>
      </c>
      <c r="AP305" s="11">
        <f>H305*(1-0.253305810531864)</f>
        <v>0</v>
      </c>
      <c r="AQ305" s="27" t="s">
        <v>138</v>
      </c>
      <c r="AV305" s="11">
        <f>AW305+AX305</f>
        <v>0</v>
      </c>
      <c r="AW305" s="11">
        <f>G305*AO305</f>
        <v>0</v>
      </c>
      <c r="AX305" s="11">
        <f>G305*AP305</f>
        <v>0</v>
      </c>
      <c r="AY305" s="29" t="s">
        <v>1079</v>
      </c>
      <c r="AZ305" s="29" t="s">
        <v>1112</v>
      </c>
      <c r="BA305" s="26" t="s">
        <v>1129</v>
      </c>
      <c r="BB305" s="26" t="s">
        <v>1136</v>
      </c>
      <c r="BC305" s="11">
        <f>AW305+AX305</f>
        <v>0</v>
      </c>
      <c r="BD305" s="11">
        <f>H305/(100-BE305)*100</f>
        <v>0</v>
      </c>
      <c r="BE305" s="11">
        <v>0</v>
      </c>
      <c r="BF305" s="11">
        <f>L305</f>
        <v>707.59999999999991</v>
      </c>
      <c r="BH305" s="20">
        <f>G305*AO305</f>
        <v>0</v>
      </c>
      <c r="BI305" s="20">
        <f>G305*AP305</f>
        <v>0</v>
      </c>
      <c r="BJ305" s="20">
        <f>G305*H305</f>
        <v>0</v>
      </c>
      <c r="BK305" s="20" t="s">
        <v>1164</v>
      </c>
      <c r="BL305" s="11">
        <v>61</v>
      </c>
    </row>
    <row r="306" spans="1:64" x14ac:dyDescent="0.2">
      <c r="A306" s="35"/>
      <c r="B306" s="86" t="s">
        <v>354</v>
      </c>
      <c r="C306" s="196" t="s">
        <v>506</v>
      </c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32"/>
    </row>
    <row r="307" spans="1:64" x14ac:dyDescent="0.2">
      <c r="A307" s="35"/>
      <c r="B307" s="36"/>
      <c r="C307" s="81" t="s">
        <v>727</v>
      </c>
      <c r="D307" s="36"/>
      <c r="E307" s="82" t="s">
        <v>927</v>
      </c>
      <c r="F307" s="36"/>
      <c r="G307" s="83">
        <v>2.3199999999999998</v>
      </c>
      <c r="H307" s="36"/>
      <c r="I307" s="36"/>
      <c r="J307" s="36"/>
      <c r="K307" s="36"/>
      <c r="L307" s="36"/>
      <c r="M307" s="35"/>
      <c r="N307" s="32"/>
    </row>
    <row r="308" spans="1:64" x14ac:dyDescent="0.2">
      <c r="A308" s="79" t="s">
        <v>96</v>
      </c>
      <c r="B308" s="79" t="s">
        <v>369</v>
      </c>
      <c r="C308" s="194" t="s">
        <v>559</v>
      </c>
      <c r="D308" s="195"/>
      <c r="E308" s="195"/>
      <c r="F308" s="79" t="s">
        <v>1050</v>
      </c>
      <c r="G308" s="80">
        <v>3.36</v>
      </c>
      <c r="H308" s="80">
        <v>0</v>
      </c>
      <c r="I308" s="80">
        <f>G308*AO308</f>
        <v>0</v>
      </c>
      <c r="J308" s="80">
        <f>G308*AP308</f>
        <v>0</v>
      </c>
      <c r="K308" s="80">
        <f>G308*H308</f>
        <v>0</v>
      </c>
      <c r="L308" s="80">
        <f>G308*308</f>
        <v>1034.8799999999999</v>
      </c>
      <c r="M308" s="94" t="s">
        <v>1066</v>
      </c>
      <c r="N308" s="32"/>
      <c r="Z308" s="11">
        <f>IF(AQ308="5",BJ308,0)</f>
        <v>0</v>
      </c>
      <c r="AB308" s="11">
        <f>IF(AQ308="1",BH308,0)</f>
        <v>0</v>
      </c>
      <c r="AC308" s="11">
        <f>IF(AQ308="1",BI308,0)</f>
        <v>0</v>
      </c>
      <c r="AD308" s="11">
        <f>IF(AQ308="7",BH308,0)</f>
        <v>0</v>
      </c>
      <c r="AE308" s="11">
        <f>IF(AQ308="7",BI308,0)</f>
        <v>0</v>
      </c>
      <c r="AF308" s="11">
        <f>IF(AQ308="2",BH308,0)</f>
        <v>0</v>
      </c>
      <c r="AG308" s="11">
        <f>IF(AQ308="2",BI308,0)</f>
        <v>0</v>
      </c>
      <c r="AH308" s="11">
        <f>IF(AQ308="0",BJ308,0)</f>
        <v>0</v>
      </c>
      <c r="AI308" s="26" t="s">
        <v>77</v>
      </c>
      <c r="AJ308" s="20">
        <f>IF(AN308=0,K308,0)</f>
        <v>0</v>
      </c>
      <c r="AK308" s="20">
        <f>IF(AN308=15,K308,0)</f>
        <v>0</v>
      </c>
      <c r="AL308" s="20">
        <f>IF(AN308=21,K308,0)</f>
        <v>0</v>
      </c>
      <c r="AN308" s="11">
        <v>21</v>
      </c>
      <c r="AO308" s="11">
        <f>H308*0.20518</f>
        <v>0</v>
      </c>
      <c r="AP308" s="11">
        <f>H308*(1-0.20518)</f>
        <v>0</v>
      </c>
      <c r="AQ308" s="27" t="s">
        <v>138</v>
      </c>
      <c r="AV308" s="11">
        <f>AW308+AX308</f>
        <v>0</v>
      </c>
      <c r="AW308" s="11">
        <f>G308*AO308</f>
        <v>0</v>
      </c>
      <c r="AX308" s="11">
        <f>G308*AP308</f>
        <v>0</v>
      </c>
      <c r="AY308" s="29" t="s">
        <v>1079</v>
      </c>
      <c r="AZ308" s="29" t="s">
        <v>1112</v>
      </c>
      <c r="BA308" s="26" t="s">
        <v>1129</v>
      </c>
      <c r="BB308" s="26" t="s">
        <v>1136</v>
      </c>
      <c r="BC308" s="11">
        <f>AW308+AX308</f>
        <v>0</v>
      </c>
      <c r="BD308" s="11">
        <f>H308/(100-BE308)*100</f>
        <v>0</v>
      </c>
      <c r="BE308" s="11">
        <v>0</v>
      </c>
      <c r="BF308" s="11">
        <f>L308</f>
        <v>1034.8799999999999</v>
      </c>
      <c r="BH308" s="20">
        <f>G308*AO308</f>
        <v>0</v>
      </c>
      <c r="BI308" s="20">
        <f>G308*AP308</f>
        <v>0</v>
      </c>
      <c r="BJ308" s="20">
        <f>G308*H308</f>
        <v>0</v>
      </c>
      <c r="BK308" s="20" t="s">
        <v>1164</v>
      </c>
      <c r="BL308" s="11">
        <v>61</v>
      </c>
    </row>
    <row r="309" spans="1:64" x14ac:dyDescent="0.2">
      <c r="A309" s="35"/>
      <c r="B309" s="86" t="s">
        <v>354</v>
      </c>
      <c r="C309" s="196" t="s">
        <v>506</v>
      </c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32"/>
    </row>
    <row r="310" spans="1:64" x14ac:dyDescent="0.2">
      <c r="A310" s="35"/>
      <c r="B310" s="36"/>
      <c r="C310" s="81" t="s">
        <v>728</v>
      </c>
      <c r="D310" s="36"/>
      <c r="E310" s="82" t="s">
        <v>927</v>
      </c>
      <c r="F310" s="36"/>
      <c r="G310" s="83">
        <v>3.36</v>
      </c>
      <c r="H310" s="36"/>
      <c r="I310" s="36"/>
      <c r="J310" s="36"/>
      <c r="K310" s="36"/>
      <c r="L310" s="36"/>
      <c r="M310" s="35"/>
      <c r="N310" s="32"/>
    </row>
    <row r="311" spans="1:64" x14ac:dyDescent="0.2">
      <c r="A311" s="79" t="s">
        <v>97</v>
      </c>
      <c r="B311" s="79" t="s">
        <v>370</v>
      </c>
      <c r="C311" s="194" t="s">
        <v>561</v>
      </c>
      <c r="D311" s="195"/>
      <c r="E311" s="195"/>
      <c r="F311" s="79" t="s">
        <v>1047</v>
      </c>
      <c r="G311" s="80">
        <v>4</v>
      </c>
      <c r="H311" s="80">
        <v>0</v>
      </c>
      <c r="I311" s="80">
        <f>G311*AO311</f>
        <v>0</v>
      </c>
      <c r="J311" s="80">
        <f>G311*AP311</f>
        <v>0</v>
      </c>
      <c r="K311" s="80">
        <f>G311*H311</f>
        <v>0</v>
      </c>
      <c r="L311" s="80">
        <f>G311*311</f>
        <v>1244</v>
      </c>
      <c r="M311" s="94" t="s">
        <v>1066</v>
      </c>
      <c r="N311" s="32"/>
      <c r="Z311" s="11">
        <f>IF(AQ311="5",BJ311,0)</f>
        <v>0</v>
      </c>
      <c r="AB311" s="11">
        <f>IF(AQ311="1",BH311,0)</f>
        <v>0</v>
      </c>
      <c r="AC311" s="11">
        <f>IF(AQ311="1",BI311,0)</f>
        <v>0</v>
      </c>
      <c r="AD311" s="11">
        <f>IF(AQ311="7",BH311,0)</f>
        <v>0</v>
      </c>
      <c r="AE311" s="11">
        <f>IF(AQ311="7",BI311,0)</f>
        <v>0</v>
      </c>
      <c r="AF311" s="11">
        <f>IF(AQ311="2",BH311,0)</f>
        <v>0</v>
      </c>
      <c r="AG311" s="11">
        <f>IF(AQ311="2",BI311,0)</f>
        <v>0</v>
      </c>
      <c r="AH311" s="11">
        <f>IF(AQ311="0",BJ311,0)</f>
        <v>0</v>
      </c>
      <c r="AI311" s="26" t="s">
        <v>77</v>
      </c>
      <c r="AJ311" s="20">
        <f>IF(AN311=0,K311,0)</f>
        <v>0</v>
      </c>
      <c r="AK311" s="20">
        <f>IF(AN311=15,K311,0)</f>
        <v>0</v>
      </c>
      <c r="AL311" s="20">
        <f>IF(AN311=21,K311,0)</f>
        <v>0</v>
      </c>
      <c r="AN311" s="11">
        <v>21</v>
      </c>
      <c r="AO311" s="11">
        <f>H311*0.186131386861314</f>
        <v>0</v>
      </c>
      <c r="AP311" s="11">
        <f>H311*(1-0.186131386861314)</f>
        <v>0</v>
      </c>
      <c r="AQ311" s="27" t="s">
        <v>138</v>
      </c>
      <c r="AV311" s="11">
        <f>AW311+AX311</f>
        <v>0</v>
      </c>
      <c r="AW311" s="11">
        <f>G311*AO311</f>
        <v>0</v>
      </c>
      <c r="AX311" s="11">
        <f>G311*AP311</f>
        <v>0</v>
      </c>
      <c r="AY311" s="29" t="s">
        <v>1079</v>
      </c>
      <c r="AZ311" s="29" t="s">
        <v>1112</v>
      </c>
      <c r="BA311" s="26" t="s">
        <v>1129</v>
      </c>
      <c r="BB311" s="26" t="s">
        <v>1136</v>
      </c>
      <c r="BC311" s="11">
        <f>AW311+AX311</f>
        <v>0</v>
      </c>
      <c r="BD311" s="11">
        <f>H311/(100-BE311)*100</f>
        <v>0</v>
      </c>
      <c r="BE311" s="11">
        <v>0</v>
      </c>
      <c r="BF311" s="11">
        <f>L311</f>
        <v>1244</v>
      </c>
      <c r="BH311" s="20">
        <f>G311*AO311</f>
        <v>0</v>
      </c>
      <c r="BI311" s="20">
        <f>G311*AP311</f>
        <v>0</v>
      </c>
      <c r="BJ311" s="20">
        <f>G311*H311</f>
        <v>0</v>
      </c>
      <c r="BK311" s="20" t="s">
        <v>1164</v>
      </c>
      <c r="BL311" s="11">
        <v>61</v>
      </c>
    </row>
    <row r="312" spans="1:64" x14ac:dyDescent="0.2">
      <c r="A312" s="35"/>
      <c r="B312" s="86" t="s">
        <v>354</v>
      </c>
      <c r="C312" s="196" t="s">
        <v>562</v>
      </c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32"/>
    </row>
    <row r="313" spans="1:64" x14ac:dyDescent="0.2">
      <c r="A313" s="35"/>
      <c r="B313" s="36"/>
      <c r="C313" s="81" t="s">
        <v>141</v>
      </c>
      <c r="D313" s="36"/>
      <c r="E313" s="82"/>
      <c r="F313" s="36"/>
      <c r="G313" s="83">
        <v>4</v>
      </c>
      <c r="H313" s="36"/>
      <c r="I313" s="36"/>
      <c r="J313" s="36"/>
      <c r="K313" s="36"/>
      <c r="L313" s="36"/>
      <c r="M313" s="35"/>
      <c r="N313" s="32"/>
    </row>
    <row r="314" spans="1:64" x14ac:dyDescent="0.2">
      <c r="A314" s="77"/>
      <c r="B314" s="76" t="s">
        <v>87</v>
      </c>
      <c r="C314" s="204" t="s">
        <v>113</v>
      </c>
      <c r="D314" s="205"/>
      <c r="E314" s="205"/>
      <c r="F314" s="77" t="s">
        <v>60</v>
      </c>
      <c r="G314" s="77" t="s">
        <v>60</v>
      </c>
      <c r="H314" s="77" t="s">
        <v>60</v>
      </c>
      <c r="I314" s="78">
        <f>SUM(I315:I315)</f>
        <v>0</v>
      </c>
      <c r="J314" s="78">
        <f>SUM(J315:J315)</f>
        <v>0</v>
      </c>
      <c r="K314" s="78">
        <f>SUM(K315:K315)</f>
        <v>0</v>
      </c>
      <c r="L314" s="78">
        <f>SUM(L315:L315)</f>
        <v>16.38</v>
      </c>
      <c r="M314" s="93"/>
      <c r="N314" s="32"/>
      <c r="AI314" s="26" t="s">
        <v>77</v>
      </c>
      <c r="AS314" s="31">
        <f>SUM(AJ315:AJ315)</f>
        <v>0</v>
      </c>
      <c r="AT314" s="31">
        <f>SUM(AK315:AK315)</f>
        <v>0</v>
      </c>
      <c r="AU314" s="31">
        <f>SUM(AL315:AL315)</f>
        <v>0</v>
      </c>
    </row>
    <row r="315" spans="1:64" x14ac:dyDescent="0.2">
      <c r="A315" s="79" t="s">
        <v>226</v>
      </c>
      <c r="B315" s="79" t="s">
        <v>372</v>
      </c>
      <c r="C315" s="194" t="s">
        <v>565</v>
      </c>
      <c r="D315" s="195"/>
      <c r="E315" s="195"/>
      <c r="F315" s="79" t="s">
        <v>1049</v>
      </c>
      <c r="G315" s="80">
        <v>5.1999999999999998E-2</v>
      </c>
      <c r="H315" s="80">
        <v>0</v>
      </c>
      <c r="I315" s="80">
        <f>G315*AO315</f>
        <v>0</v>
      </c>
      <c r="J315" s="80">
        <f>G315*AP315</f>
        <v>0</v>
      </c>
      <c r="K315" s="80">
        <f>G315*H315</f>
        <v>0</v>
      </c>
      <c r="L315" s="80">
        <f>G315*315</f>
        <v>16.38</v>
      </c>
      <c r="M315" s="94" t="s">
        <v>1066</v>
      </c>
      <c r="N315" s="32"/>
      <c r="Z315" s="11">
        <f>IF(AQ315="5",BJ315,0)</f>
        <v>0</v>
      </c>
      <c r="AB315" s="11">
        <f>IF(AQ315="1",BH315,0)</f>
        <v>0</v>
      </c>
      <c r="AC315" s="11">
        <f>IF(AQ315="1",BI315,0)</f>
        <v>0</v>
      </c>
      <c r="AD315" s="11">
        <f>IF(AQ315="7",BH315,0)</f>
        <v>0</v>
      </c>
      <c r="AE315" s="11">
        <f>IF(AQ315="7",BI315,0)</f>
        <v>0</v>
      </c>
      <c r="AF315" s="11">
        <f>IF(AQ315="2",BH315,0)</f>
        <v>0</v>
      </c>
      <c r="AG315" s="11">
        <f>IF(AQ315="2",BI315,0)</f>
        <v>0</v>
      </c>
      <c r="AH315" s="11">
        <f>IF(AQ315="0",BJ315,0)</f>
        <v>0</v>
      </c>
      <c r="AI315" s="26" t="s">
        <v>77</v>
      </c>
      <c r="AJ315" s="20">
        <f>IF(AN315=0,K315,0)</f>
        <v>0</v>
      </c>
      <c r="AK315" s="20">
        <f>IF(AN315=15,K315,0)</f>
        <v>0</v>
      </c>
      <c r="AL315" s="20">
        <f>IF(AN315=21,K315,0)</f>
        <v>0</v>
      </c>
      <c r="AN315" s="11">
        <v>21</v>
      </c>
      <c r="AO315" s="11">
        <f>H315*0.561424113475177</f>
        <v>0</v>
      </c>
      <c r="AP315" s="11">
        <f>H315*(1-0.561424113475177)</f>
        <v>0</v>
      </c>
      <c r="AQ315" s="27" t="s">
        <v>138</v>
      </c>
      <c r="AV315" s="11">
        <f>AW315+AX315</f>
        <v>0</v>
      </c>
      <c r="AW315" s="11">
        <f>G315*AO315</f>
        <v>0</v>
      </c>
      <c r="AX315" s="11">
        <f>G315*AP315</f>
        <v>0</v>
      </c>
      <c r="AY315" s="29" t="s">
        <v>1080</v>
      </c>
      <c r="AZ315" s="29" t="s">
        <v>1112</v>
      </c>
      <c r="BA315" s="26" t="s">
        <v>1129</v>
      </c>
      <c r="BB315" s="26" t="s">
        <v>1137</v>
      </c>
      <c r="BC315" s="11">
        <f>AW315+AX315</f>
        <v>0</v>
      </c>
      <c r="BD315" s="11">
        <f>H315/(100-BE315)*100</f>
        <v>0</v>
      </c>
      <c r="BE315" s="11">
        <v>0</v>
      </c>
      <c r="BF315" s="11">
        <f>L315</f>
        <v>16.38</v>
      </c>
      <c r="BH315" s="20">
        <f>G315*AO315</f>
        <v>0</v>
      </c>
      <c r="BI315" s="20">
        <f>G315*AP315</f>
        <v>0</v>
      </c>
      <c r="BJ315" s="20">
        <f>G315*H315</f>
        <v>0</v>
      </c>
      <c r="BK315" s="20" t="s">
        <v>1164</v>
      </c>
      <c r="BL315" s="11">
        <v>63</v>
      </c>
    </row>
    <row r="316" spans="1:64" x14ac:dyDescent="0.2">
      <c r="A316" s="35"/>
      <c r="B316" s="36"/>
      <c r="C316" s="81" t="s">
        <v>729</v>
      </c>
      <c r="D316" s="36"/>
      <c r="E316" s="82"/>
      <c r="F316" s="36"/>
      <c r="G316" s="83">
        <v>5.1999999999999998E-2</v>
      </c>
      <c r="H316" s="36"/>
      <c r="I316" s="36"/>
      <c r="J316" s="36"/>
      <c r="K316" s="36"/>
      <c r="L316" s="36"/>
      <c r="M316" s="35"/>
      <c r="N316" s="32"/>
    </row>
    <row r="317" spans="1:64" x14ac:dyDescent="0.2">
      <c r="A317" s="77"/>
      <c r="B317" s="76" t="s">
        <v>90</v>
      </c>
      <c r="C317" s="204" t="s">
        <v>116</v>
      </c>
      <c r="D317" s="205"/>
      <c r="E317" s="205"/>
      <c r="F317" s="77" t="s">
        <v>60</v>
      </c>
      <c r="G317" s="77" t="s">
        <v>60</v>
      </c>
      <c r="H317" s="77" t="s">
        <v>60</v>
      </c>
      <c r="I317" s="78">
        <f>SUM(I318:I338)</f>
        <v>0</v>
      </c>
      <c r="J317" s="78">
        <f>SUM(J318:J338)</f>
        <v>0</v>
      </c>
      <c r="K317" s="78">
        <f>SUM(K318:K338)</f>
        <v>0</v>
      </c>
      <c r="L317" s="78">
        <f>SUM(L318:L338)</f>
        <v>30045.425000000003</v>
      </c>
      <c r="M317" s="93"/>
      <c r="N317" s="32"/>
      <c r="AI317" s="26" t="s">
        <v>77</v>
      </c>
      <c r="AS317" s="31">
        <f>SUM(AJ318:AJ338)</f>
        <v>0</v>
      </c>
      <c r="AT317" s="31">
        <f>SUM(AK318:AK338)</f>
        <v>0</v>
      </c>
      <c r="AU317" s="31">
        <f>SUM(AL318:AL338)</f>
        <v>0</v>
      </c>
    </row>
    <row r="318" spans="1:64" x14ac:dyDescent="0.2">
      <c r="A318" s="79" t="s">
        <v>227</v>
      </c>
      <c r="B318" s="79" t="s">
        <v>377</v>
      </c>
      <c r="C318" s="194" t="s">
        <v>574</v>
      </c>
      <c r="D318" s="195"/>
      <c r="E318" s="195"/>
      <c r="F318" s="79" t="s">
        <v>1050</v>
      </c>
      <c r="G318" s="80">
        <v>42.965000000000003</v>
      </c>
      <c r="H318" s="80">
        <v>0</v>
      </c>
      <c r="I318" s="80">
        <f>G318*AO318</f>
        <v>0</v>
      </c>
      <c r="J318" s="80">
        <f>G318*AP318</f>
        <v>0</v>
      </c>
      <c r="K318" s="80">
        <f>G318*H318</f>
        <v>0</v>
      </c>
      <c r="L318" s="80">
        <f>G318*318</f>
        <v>13662.87</v>
      </c>
      <c r="M318" s="94" t="s">
        <v>1066</v>
      </c>
      <c r="N318" s="32"/>
      <c r="Z318" s="11">
        <f>IF(AQ318="5",BJ318,0)</f>
        <v>0</v>
      </c>
      <c r="AB318" s="11">
        <f>IF(AQ318="1",BH318,0)</f>
        <v>0</v>
      </c>
      <c r="AC318" s="11">
        <f>IF(AQ318="1",BI318,0)</f>
        <v>0</v>
      </c>
      <c r="AD318" s="11">
        <f>IF(AQ318="7",BH318,0)</f>
        <v>0</v>
      </c>
      <c r="AE318" s="11">
        <f>IF(AQ318="7",BI318,0)</f>
        <v>0</v>
      </c>
      <c r="AF318" s="11">
        <f>IF(AQ318="2",BH318,0)</f>
        <v>0</v>
      </c>
      <c r="AG318" s="11">
        <f>IF(AQ318="2",BI318,0)</f>
        <v>0</v>
      </c>
      <c r="AH318" s="11">
        <f>IF(AQ318="0",BJ318,0)</f>
        <v>0</v>
      </c>
      <c r="AI318" s="26" t="s">
        <v>77</v>
      </c>
      <c r="AJ318" s="20">
        <f>IF(AN318=0,K318,0)</f>
        <v>0</v>
      </c>
      <c r="AK318" s="20">
        <f>IF(AN318=15,K318,0)</f>
        <v>0</v>
      </c>
      <c r="AL318" s="20">
        <f>IF(AN318=21,K318,0)</f>
        <v>0</v>
      </c>
      <c r="AN318" s="11">
        <v>21</v>
      </c>
      <c r="AO318" s="11">
        <f>H318*0</f>
        <v>0</v>
      </c>
      <c r="AP318" s="11">
        <f>H318*(1-0)</f>
        <v>0</v>
      </c>
      <c r="AQ318" s="27" t="s">
        <v>144</v>
      </c>
      <c r="AV318" s="11">
        <f>AW318+AX318</f>
        <v>0</v>
      </c>
      <c r="AW318" s="11">
        <f>G318*AO318</f>
        <v>0</v>
      </c>
      <c r="AX318" s="11">
        <f>G318*AP318</f>
        <v>0</v>
      </c>
      <c r="AY318" s="29" t="s">
        <v>1083</v>
      </c>
      <c r="AZ318" s="29" t="s">
        <v>1113</v>
      </c>
      <c r="BA318" s="26" t="s">
        <v>1129</v>
      </c>
      <c r="BB318" s="26" t="s">
        <v>1140</v>
      </c>
      <c r="BC318" s="11">
        <f>AW318+AX318</f>
        <v>0</v>
      </c>
      <c r="BD318" s="11">
        <f>H318/(100-BE318)*100</f>
        <v>0</v>
      </c>
      <c r="BE318" s="11">
        <v>0</v>
      </c>
      <c r="BF318" s="11">
        <f>L318</f>
        <v>13662.87</v>
      </c>
      <c r="BH318" s="20">
        <f>G318*AO318</f>
        <v>0</v>
      </c>
      <c r="BI318" s="20">
        <f>G318*AP318</f>
        <v>0</v>
      </c>
      <c r="BJ318" s="20">
        <f>G318*H318</f>
        <v>0</v>
      </c>
      <c r="BK318" s="20" t="s">
        <v>1164</v>
      </c>
      <c r="BL318" s="11">
        <v>766</v>
      </c>
    </row>
    <row r="319" spans="1:64" x14ac:dyDescent="0.2">
      <c r="A319" s="35"/>
      <c r="B319" s="86" t="s">
        <v>354</v>
      </c>
      <c r="C319" s="196" t="s">
        <v>575</v>
      </c>
      <c r="D319" s="197"/>
      <c r="E319" s="197"/>
      <c r="F319" s="197"/>
      <c r="G319" s="197"/>
      <c r="H319" s="197"/>
      <c r="I319" s="197"/>
      <c r="J319" s="197"/>
      <c r="K319" s="197"/>
      <c r="L319" s="197"/>
      <c r="M319" s="197"/>
      <c r="N319" s="32"/>
    </row>
    <row r="320" spans="1:64" x14ac:dyDescent="0.2">
      <c r="A320" s="35"/>
      <c r="B320" s="36"/>
      <c r="C320" s="81" t="s">
        <v>730</v>
      </c>
      <c r="D320" s="36"/>
      <c r="E320" s="82" t="s">
        <v>992</v>
      </c>
      <c r="F320" s="36"/>
      <c r="G320" s="83">
        <v>18.260000000000002</v>
      </c>
      <c r="H320" s="36"/>
      <c r="I320" s="36"/>
      <c r="J320" s="36"/>
      <c r="K320" s="36"/>
      <c r="L320" s="36"/>
      <c r="M320" s="35"/>
      <c r="N320" s="32"/>
    </row>
    <row r="321" spans="1:64" x14ac:dyDescent="0.2">
      <c r="A321" s="35"/>
      <c r="B321" s="36"/>
      <c r="C321" s="81" t="s">
        <v>731</v>
      </c>
      <c r="D321" s="36"/>
      <c r="E321" s="82" t="s">
        <v>934</v>
      </c>
      <c r="F321" s="36"/>
      <c r="G321" s="83">
        <v>-4.2679999999999998</v>
      </c>
      <c r="H321" s="36"/>
      <c r="I321" s="36"/>
      <c r="J321" s="36"/>
      <c r="K321" s="36"/>
      <c r="L321" s="36"/>
      <c r="M321" s="35"/>
      <c r="N321" s="32"/>
    </row>
    <row r="322" spans="1:64" x14ac:dyDescent="0.2">
      <c r="A322" s="35"/>
      <c r="B322" s="36"/>
      <c r="C322" s="81" t="s">
        <v>732</v>
      </c>
      <c r="D322" s="36"/>
      <c r="E322" s="82" t="s">
        <v>993</v>
      </c>
      <c r="F322" s="36"/>
      <c r="G322" s="83">
        <v>6.6769999999999996</v>
      </c>
      <c r="H322" s="36"/>
      <c r="I322" s="36"/>
      <c r="J322" s="36"/>
      <c r="K322" s="36"/>
      <c r="L322" s="36"/>
      <c r="M322" s="35"/>
      <c r="N322" s="32"/>
    </row>
    <row r="323" spans="1:64" x14ac:dyDescent="0.2">
      <c r="A323" s="35"/>
      <c r="B323" s="36"/>
      <c r="C323" s="81" t="s">
        <v>733</v>
      </c>
      <c r="D323" s="36"/>
      <c r="E323" s="82" t="s">
        <v>994</v>
      </c>
      <c r="F323" s="36"/>
      <c r="G323" s="83">
        <v>11.726000000000001</v>
      </c>
      <c r="H323" s="36"/>
      <c r="I323" s="36"/>
      <c r="J323" s="36"/>
      <c r="K323" s="36"/>
      <c r="L323" s="36"/>
      <c r="M323" s="35"/>
      <c r="N323" s="32"/>
    </row>
    <row r="324" spans="1:64" x14ac:dyDescent="0.2">
      <c r="A324" s="35"/>
      <c r="B324" s="36"/>
      <c r="C324" s="81" t="s">
        <v>734</v>
      </c>
      <c r="D324" s="36"/>
      <c r="E324" s="82" t="s">
        <v>934</v>
      </c>
      <c r="F324" s="36"/>
      <c r="G324" s="83">
        <v>-0.99</v>
      </c>
      <c r="H324" s="36"/>
      <c r="I324" s="36"/>
      <c r="J324" s="36"/>
      <c r="K324" s="36"/>
      <c r="L324" s="36"/>
      <c r="M324" s="35"/>
      <c r="N324" s="32"/>
    </row>
    <row r="325" spans="1:64" x14ac:dyDescent="0.2">
      <c r="A325" s="35"/>
      <c r="B325" s="36"/>
      <c r="C325" s="81" t="s">
        <v>735</v>
      </c>
      <c r="D325" s="36"/>
      <c r="E325" s="82" t="s">
        <v>995</v>
      </c>
      <c r="F325" s="36"/>
      <c r="G325" s="83">
        <v>16.18</v>
      </c>
      <c r="H325" s="36"/>
      <c r="I325" s="36"/>
      <c r="J325" s="36"/>
      <c r="K325" s="36"/>
      <c r="L325" s="36"/>
      <c r="M325" s="35"/>
      <c r="N325" s="32"/>
    </row>
    <row r="326" spans="1:64" x14ac:dyDescent="0.2">
      <c r="A326" s="35"/>
      <c r="B326" s="36"/>
      <c r="C326" s="81" t="s">
        <v>736</v>
      </c>
      <c r="D326" s="36"/>
      <c r="E326" s="82" t="s">
        <v>934</v>
      </c>
      <c r="F326" s="36"/>
      <c r="G326" s="83">
        <v>-4.62</v>
      </c>
      <c r="H326" s="36"/>
      <c r="I326" s="36"/>
      <c r="J326" s="36"/>
      <c r="K326" s="36"/>
      <c r="L326" s="36"/>
      <c r="M326" s="35"/>
      <c r="N326" s="32"/>
    </row>
    <row r="327" spans="1:64" x14ac:dyDescent="0.2">
      <c r="A327" s="79" t="s">
        <v>228</v>
      </c>
      <c r="B327" s="79" t="s">
        <v>378</v>
      </c>
      <c r="C327" s="194" t="s">
        <v>581</v>
      </c>
      <c r="D327" s="195"/>
      <c r="E327" s="195"/>
      <c r="F327" s="79" t="s">
        <v>1050</v>
      </c>
      <c r="G327" s="80">
        <v>42.965000000000003</v>
      </c>
      <c r="H327" s="80">
        <v>0</v>
      </c>
      <c r="I327" s="80">
        <f>G327*AO327</f>
        <v>0</v>
      </c>
      <c r="J327" s="80">
        <f>G327*AP327</f>
        <v>0</v>
      </c>
      <c r="K327" s="80">
        <f>G327*H327</f>
        <v>0</v>
      </c>
      <c r="L327" s="80">
        <f>G327*327</f>
        <v>14049.555</v>
      </c>
      <c r="M327" s="94" t="s">
        <v>1066</v>
      </c>
      <c r="N327" s="32"/>
      <c r="Z327" s="11">
        <f>IF(AQ327="5",BJ327,0)</f>
        <v>0</v>
      </c>
      <c r="AB327" s="11">
        <f>IF(AQ327="1",BH327,0)</f>
        <v>0</v>
      </c>
      <c r="AC327" s="11">
        <f>IF(AQ327="1",BI327,0)</f>
        <v>0</v>
      </c>
      <c r="AD327" s="11">
        <f>IF(AQ327="7",BH327,0)</f>
        <v>0</v>
      </c>
      <c r="AE327" s="11">
        <f>IF(AQ327="7",BI327,0)</f>
        <v>0</v>
      </c>
      <c r="AF327" s="11">
        <f>IF(AQ327="2",BH327,0)</f>
        <v>0</v>
      </c>
      <c r="AG327" s="11">
        <f>IF(AQ327="2",BI327,0)</f>
        <v>0</v>
      </c>
      <c r="AH327" s="11">
        <f>IF(AQ327="0",BJ327,0)</f>
        <v>0</v>
      </c>
      <c r="AI327" s="26" t="s">
        <v>77</v>
      </c>
      <c r="AJ327" s="20">
        <f>IF(AN327=0,K327,0)</f>
        <v>0</v>
      </c>
      <c r="AK327" s="20">
        <f>IF(AN327=15,K327,0)</f>
        <v>0</v>
      </c>
      <c r="AL327" s="20">
        <f>IF(AN327=21,K327,0)</f>
        <v>0</v>
      </c>
      <c r="AN327" s="11">
        <v>21</v>
      </c>
      <c r="AO327" s="11">
        <f>H327*0</f>
        <v>0</v>
      </c>
      <c r="AP327" s="11">
        <f>H327*(1-0)</f>
        <v>0</v>
      </c>
      <c r="AQ327" s="27" t="s">
        <v>144</v>
      </c>
      <c r="AV327" s="11">
        <f>AW327+AX327</f>
        <v>0</v>
      </c>
      <c r="AW327" s="11">
        <f>G327*AO327</f>
        <v>0</v>
      </c>
      <c r="AX327" s="11">
        <f>G327*AP327</f>
        <v>0</v>
      </c>
      <c r="AY327" s="29" t="s">
        <v>1083</v>
      </c>
      <c r="AZ327" s="29" t="s">
        <v>1113</v>
      </c>
      <c r="BA327" s="26" t="s">
        <v>1129</v>
      </c>
      <c r="BB327" s="26" t="s">
        <v>1140</v>
      </c>
      <c r="BC327" s="11">
        <f>AW327+AX327</f>
        <v>0</v>
      </c>
      <c r="BD327" s="11">
        <f>H327/(100-BE327)*100</f>
        <v>0</v>
      </c>
      <c r="BE327" s="11">
        <v>0</v>
      </c>
      <c r="BF327" s="11">
        <f>L327</f>
        <v>14049.555</v>
      </c>
      <c r="BH327" s="20">
        <f>G327*AO327</f>
        <v>0</v>
      </c>
      <c r="BI327" s="20">
        <f>G327*AP327</f>
        <v>0</v>
      </c>
      <c r="BJ327" s="20">
        <f>G327*H327</f>
        <v>0</v>
      </c>
      <c r="BK327" s="20" t="s">
        <v>1164</v>
      </c>
      <c r="BL327" s="11">
        <v>766</v>
      </c>
    </row>
    <row r="328" spans="1:64" x14ac:dyDescent="0.2">
      <c r="A328" s="35"/>
      <c r="B328" s="36"/>
      <c r="C328" s="81" t="s">
        <v>737</v>
      </c>
      <c r="D328" s="36"/>
      <c r="E328" s="82"/>
      <c r="F328" s="36"/>
      <c r="G328" s="83">
        <v>42.965000000000003</v>
      </c>
      <c r="H328" s="36"/>
      <c r="I328" s="36"/>
      <c r="J328" s="36"/>
      <c r="K328" s="36"/>
      <c r="L328" s="36"/>
      <c r="M328" s="35"/>
      <c r="N328" s="32"/>
    </row>
    <row r="329" spans="1:64" x14ac:dyDescent="0.2">
      <c r="A329" s="79" t="s">
        <v>229</v>
      </c>
      <c r="B329" s="79" t="s">
        <v>379</v>
      </c>
      <c r="C329" s="194" t="s">
        <v>583</v>
      </c>
      <c r="D329" s="195"/>
      <c r="E329" s="195"/>
      <c r="F329" s="79" t="s">
        <v>1047</v>
      </c>
      <c r="G329" s="80">
        <v>1</v>
      </c>
      <c r="H329" s="80">
        <v>0</v>
      </c>
      <c r="I329" s="80">
        <f>G329*AO329</f>
        <v>0</v>
      </c>
      <c r="J329" s="80">
        <f>G329*AP329</f>
        <v>0</v>
      </c>
      <c r="K329" s="80">
        <f>G329*H329</f>
        <v>0</v>
      </c>
      <c r="L329" s="80">
        <f>G329*329</f>
        <v>329</v>
      </c>
      <c r="M329" s="94" t="s">
        <v>1066</v>
      </c>
      <c r="N329" s="32"/>
      <c r="Z329" s="11">
        <f>IF(AQ329="5",BJ329,0)</f>
        <v>0</v>
      </c>
      <c r="AB329" s="11">
        <f>IF(AQ329="1",BH329,0)</f>
        <v>0</v>
      </c>
      <c r="AC329" s="11">
        <f>IF(AQ329="1",BI329,0)</f>
        <v>0</v>
      </c>
      <c r="AD329" s="11">
        <f>IF(AQ329="7",BH329,0)</f>
        <v>0</v>
      </c>
      <c r="AE329" s="11">
        <f>IF(AQ329="7",BI329,0)</f>
        <v>0</v>
      </c>
      <c r="AF329" s="11">
        <f>IF(AQ329="2",BH329,0)</f>
        <v>0</v>
      </c>
      <c r="AG329" s="11">
        <f>IF(AQ329="2",BI329,0)</f>
        <v>0</v>
      </c>
      <c r="AH329" s="11">
        <f>IF(AQ329="0",BJ329,0)</f>
        <v>0</v>
      </c>
      <c r="AI329" s="26" t="s">
        <v>77</v>
      </c>
      <c r="AJ329" s="20">
        <f>IF(AN329=0,K329,0)</f>
        <v>0</v>
      </c>
      <c r="AK329" s="20">
        <f>IF(AN329=15,K329,0)</f>
        <v>0</v>
      </c>
      <c r="AL329" s="20">
        <f>IF(AN329=21,K329,0)</f>
        <v>0</v>
      </c>
      <c r="AN329" s="11">
        <v>21</v>
      </c>
      <c r="AO329" s="11">
        <f>H329*0</f>
        <v>0</v>
      </c>
      <c r="AP329" s="11">
        <f>H329*(1-0)</f>
        <v>0</v>
      </c>
      <c r="AQ329" s="27" t="s">
        <v>144</v>
      </c>
      <c r="AV329" s="11">
        <f>AW329+AX329</f>
        <v>0</v>
      </c>
      <c r="AW329" s="11">
        <f>G329*AO329</f>
        <v>0</v>
      </c>
      <c r="AX329" s="11">
        <f>G329*AP329</f>
        <v>0</v>
      </c>
      <c r="AY329" s="29" t="s">
        <v>1083</v>
      </c>
      <c r="AZ329" s="29" t="s">
        <v>1113</v>
      </c>
      <c r="BA329" s="26" t="s">
        <v>1129</v>
      </c>
      <c r="BB329" s="26" t="s">
        <v>1140</v>
      </c>
      <c r="BC329" s="11">
        <f>AW329+AX329</f>
        <v>0</v>
      </c>
      <c r="BD329" s="11">
        <f>H329/(100-BE329)*100</f>
        <v>0</v>
      </c>
      <c r="BE329" s="11">
        <v>0</v>
      </c>
      <c r="BF329" s="11">
        <f>L329</f>
        <v>329</v>
      </c>
      <c r="BH329" s="20">
        <f>G329*AO329</f>
        <v>0</v>
      </c>
      <c r="BI329" s="20">
        <f>G329*AP329</f>
        <v>0</v>
      </c>
      <c r="BJ329" s="20">
        <f>G329*H329</f>
        <v>0</v>
      </c>
      <c r="BK329" s="20" t="s">
        <v>1164</v>
      </c>
      <c r="BL329" s="11">
        <v>766</v>
      </c>
    </row>
    <row r="330" spans="1:64" x14ac:dyDescent="0.2">
      <c r="A330" s="84" t="s">
        <v>230</v>
      </c>
      <c r="B330" s="84" t="s">
        <v>380</v>
      </c>
      <c r="C330" s="198" t="s">
        <v>584</v>
      </c>
      <c r="D330" s="199"/>
      <c r="E330" s="199"/>
      <c r="F330" s="84" t="s">
        <v>1052</v>
      </c>
      <c r="G330" s="85">
        <v>1</v>
      </c>
      <c r="H330" s="85">
        <v>0</v>
      </c>
      <c r="I330" s="85">
        <f>G330*AO330</f>
        <v>0</v>
      </c>
      <c r="J330" s="85">
        <f>G330*AP330</f>
        <v>0</v>
      </c>
      <c r="K330" s="85">
        <f>G330*H330</f>
        <v>0</v>
      </c>
      <c r="L330" s="85">
        <f>G330*330</f>
        <v>330</v>
      </c>
      <c r="M330" s="95" t="s">
        <v>1066</v>
      </c>
      <c r="N330" s="32"/>
      <c r="Z330" s="11">
        <f>IF(AQ330="5",BJ330,0)</f>
        <v>0</v>
      </c>
      <c r="AB330" s="11">
        <f>IF(AQ330="1",BH330,0)</f>
        <v>0</v>
      </c>
      <c r="AC330" s="11">
        <f>IF(AQ330="1",BI330,0)</f>
        <v>0</v>
      </c>
      <c r="AD330" s="11">
        <f>IF(AQ330="7",BH330,0)</f>
        <v>0</v>
      </c>
      <c r="AE330" s="11">
        <f>IF(AQ330="7",BI330,0)</f>
        <v>0</v>
      </c>
      <c r="AF330" s="11">
        <f>IF(AQ330="2",BH330,0)</f>
        <v>0</v>
      </c>
      <c r="AG330" s="11">
        <f>IF(AQ330="2",BI330,0)</f>
        <v>0</v>
      </c>
      <c r="AH330" s="11">
        <f>IF(AQ330="0",BJ330,0)</f>
        <v>0</v>
      </c>
      <c r="AI330" s="26" t="s">
        <v>77</v>
      </c>
      <c r="AJ330" s="21">
        <f>IF(AN330=0,K330,0)</f>
        <v>0</v>
      </c>
      <c r="AK330" s="21">
        <f>IF(AN330=15,K330,0)</f>
        <v>0</v>
      </c>
      <c r="AL330" s="21">
        <f>IF(AN330=21,K330,0)</f>
        <v>0</v>
      </c>
      <c r="AN330" s="11">
        <v>21</v>
      </c>
      <c r="AO330" s="11">
        <f>H330*1</f>
        <v>0</v>
      </c>
      <c r="AP330" s="11">
        <f>H330*(1-1)</f>
        <v>0</v>
      </c>
      <c r="AQ330" s="28" t="s">
        <v>144</v>
      </c>
      <c r="AV330" s="11">
        <f>AW330+AX330</f>
        <v>0</v>
      </c>
      <c r="AW330" s="11">
        <f>G330*AO330</f>
        <v>0</v>
      </c>
      <c r="AX330" s="11">
        <f>G330*AP330</f>
        <v>0</v>
      </c>
      <c r="AY330" s="29" t="s">
        <v>1083</v>
      </c>
      <c r="AZ330" s="29" t="s">
        <v>1113</v>
      </c>
      <c r="BA330" s="26" t="s">
        <v>1129</v>
      </c>
      <c r="BC330" s="11">
        <f>AW330+AX330</f>
        <v>0</v>
      </c>
      <c r="BD330" s="11">
        <f>H330/(100-BE330)*100</f>
        <v>0</v>
      </c>
      <c r="BE330" s="11">
        <v>0</v>
      </c>
      <c r="BF330" s="11">
        <f>L330</f>
        <v>330</v>
      </c>
      <c r="BH330" s="21">
        <f>G330*AO330</f>
        <v>0</v>
      </c>
      <c r="BI330" s="21">
        <f>G330*AP330</f>
        <v>0</v>
      </c>
      <c r="BJ330" s="21">
        <f>G330*H330</f>
        <v>0</v>
      </c>
      <c r="BK330" s="21" t="s">
        <v>1165</v>
      </c>
      <c r="BL330" s="11">
        <v>766</v>
      </c>
    </row>
    <row r="331" spans="1:64" x14ac:dyDescent="0.2">
      <c r="A331" s="35"/>
      <c r="B331" s="36"/>
      <c r="C331" s="81" t="s">
        <v>138</v>
      </c>
      <c r="D331" s="36"/>
      <c r="E331" s="82" t="s">
        <v>935</v>
      </c>
      <c r="F331" s="36"/>
      <c r="G331" s="83">
        <v>1</v>
      </c>
      <c r="H331" s="36"/>
      <c r="I331" s="36"/>
      <c r="J331" s="36"/>
      <c r="K331" s="36"/>
      <c r="L331" s="36"/>
      <c r="M331" s="35"/>
      <c r="N331" s="32"/>
    </row>
    <row r="332" spans="1:64" x14ac:dyDescent="0.2">
      <c r="A332" s="79" t="s">
        <v>231</v>
      </c>
      <c r="B332" s="79" t="s">
        <v>383</v>
      </c>
      <c r="C332" s="194" t="s">
        <v>587</v>
      </c>
      <c r="D332" s="195"/>
      <c r="E332" s="195"/>
      <c r="F332" s="79" t="s">
        <v>1047</v>
      </c>
      <c r="G332" s="80">
        <v>2</v>
      </c>
      <c r="H332" s="80">
        <v>0</v>
      </c>
      <c r="I332" s="80">
        <f>G332*AO332</f>
        <v>0</v>
      </c>
      <c r="J332" s="80">
        <f>G332*AP332</f>
        <v>0</v>
      </c>
      <c r="K332" s="80">
        <f>G332*H332</f>
        <v>0</v>
      </c>
      <c r="L332" s="80">
        <f>G332*332</f>
        <v>664</v>
      </c>
      <c r="M332" s="94" t="s">
        <v>1066</v>
      </c>
      <c r="N332" s="32"/>
      <c r="Z332" s="11">
        <f>IF(AQ332="5",BJ332,0)</f>
        <v>0</v>
      </c>
      <c r="AB332" s="11">
        <f>IF(AQ332="1",BH332,0)</f>
        <v>0</v>
      </c>
      <c r="AC332" s="11">
        <f>IF(AQ332="1",BI332,0)</f>
        <v>0</v>
      </c>
      <c r="AD332" s="11">
        <f>IF(AQ332="7",BH332,0)</f>
        <v>0</v>
      </c>
      <c r="AE332" s="11">
        <f>IF(AQ332="7",BI332,0)</f>
        <v>0</v>
      </c>
      <c r="AF332" s="11">
        <f>IF(AQ332="2",BH332,0)</f>
        <v>0</v>
      </c>
      <c r="AG332" s="11">
        <f>IF(AQ332="2",BI332,0)</f>
        <v>0</v>
      </c>
      <c r="AH332" s="11">
        <f>IF(AQ332="0",BJ332,0)</f>
        <v>0</v>
      </c>
      <c r="AI332" s="26" t="s">
        <v>77</v>
      </c>
      <c r="AJ332" s="20">
        <f>IF(AN332=0,K332,0)</f>
        <v>0</v>
      </c>
      <c r="AK332" s="20">
        <f>IF(AN332=15,K332,0)</f>
        <v>0</v>
      </c>
      <c r="AL332" s="20">
        <f>IF(AN332=21,K332,0)</f>
        <v>0</v>
      </c>
      <c r="AN332" s="11">
        <v>21</v>
      </c>
      <c r="AO332" s="11">
        <f>H332*0</f>
        <v>0</v>
      </c>
      <c r="AP332" s="11">
        <f>H332*(1-0)</f>
        <v>0</v>
      </c>
      <c r="AQ332" s="27" t="s">
        <v>144</v>
      </c>
      <c r="AV332" s="11">
        <f>AW332+AX332</f>
        <v>0</v>
      </c>
      <c r="AW332" s="11">
        <f>G332*AO332</f>
        <v>0</v>
      </c>
      <c r="AX332" s="11">
        <f>G332*AP332</f>
        <v>0</v>
      </c>
      <c r="AY332" s="29" t="s">
        <v>1083</v>
      </c>
      <c r="AZ332" s="29" t="s">
        <v>1113</v>
      </c>
      <c r="BA332" s="26" t="s">
        <v>1129</v>
      </c>
      <c r="BB332" s="26" t="s">
        <v>1140</v>
      </c>
      <c r="BC332" s="11">
        <f>AW332+AX332</f>
        <v>0</v>
      </c>
      <c r="BD332" s="11">
        <f>H332/(100-BE332)*100</f>
        <v>0</v>
      </c>
      <c r="BE332" s="11">
        <v>0</v>
      </c>
      <c r="BF332" s="11">
        <f>L332</f>
        <v>664</v>
      </c>
      <c r="BH332" s="20">
        <f>G332*AO332</f>
        <v>0</v>
      </c>
      <c r="BI332" s="20">
        <f>G332*AP332</f>
        <v>0</v>
      </c>
      <c r="BJ332" s="20">
        <f>G332*H332</f>
        <v>0</v>
      </c>
      <c r="BK332" s="20" t="s">
        <v>1164</v>
      </c>
      <c r="BL332" s="11">
        <v>766</v>
      </c>
    </row>
    <row r="333" spans="1:64" ht="25.7" customHeight="1" x14ac:dyDescent="0.2">
      <c r="A333" s="35"/>
      <c r="B333" s="86" t="s">
        <v>354</v>
      </c>
      <c r="C333" s="196" t="s">
        <v>738</v>
      </c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32"/>
    </row>
    <row r="334" spans="1:64" x14ac:dyDescent="0.2">
      <c r="A334" s="35"/>
      <c r="B334" s="36"/>
      <c r="C334" s="81" t="s">
        <v>569</v>
      </c>
      <c r="D334" s="36"/>
      <c r="E334" s="82" t="s">
        <v>996</v>
      </c>
      <c r="F334" s="36"/>
      <c r="G334" s="83">
        <v>2</v>
      </c>
      <c r="H334" s="36"/>
      <c r="I334" s="36"/>
      <c r="J334" s="36"/>
      <c r="K334" s="36"/>
      <c r="L334" s="36"/>
      <c r="M334" s="35"/>
      <c r="N334" s="32"/>
    </row>
    <row r="335" spans="1:64" x14ac:dyDescent="0.2">
      <c r="A335" s="79" t="s">
        <v>232</v>
      </c>
      <c r="B335" s="79" t="s">
        <v>432</v>
      </c>
      <c r="C335" s="194" t="s">
        <v>739</v>
      </c>
      <c r="D335" s="195"/>
      <c r="E335" s="195"/>
      <c r="F335" s="79" t="s">
        <v>1047</v>
      </c>
      <c r="G335" s="80">
        <v>1</v>
      </c>
      <c r="H335" s="80">
        <v>0</v>
      </c>
      <c r="I335" s="80">
        <f>G335*AO335</f>
        <v>0</v>
      </c>
      <c r="J335" s="80">
        <f>G335*AP335</f>
        <v>0</v>
      </c>
      <c r="K335" s="80">
        <f>G335*H335</f>
        <v>0</v>
      </c>
      <c r="L335" s="80">
        <f>G335*335</f>
        <v>335</v>
      </c>
      <c r="M335" s="94" t="s">
        <v>1066</v>
      </c>
      <c r="N335" s="32"/>
      <c r="Z335" s="11">
        <f>IF(AQ335="5",BJ335,0)</f>
        <v>0</v>
      </c>
      <c r="AB335" s="11">
        <f>IF(AQ335="1",BH335,0)</f>
        <v>0</v>
      </c>
      <c r="AC335" s="11">
        <f>IF(AQ335="1",BI335,0)</f>
        <v>0</v>
      </c>
      <c r="AD335" s="11">
        <f>IF(AQ335="7",BH335,0)</f>
        <v>0</v>
      </c>
      <c r="AE335" s="11">
        <f>IF(AQ335="7",BI335,0)</f>
        <v>0</v>
      </c>
      <c r="AF335" s="11">
        <f>IF(AQ335="2",BH335,0)</f>
        <v>0</v>
      </c>
      <c r="AG335" s="11">
        <f>IF(AQ335="2",BI335,0)</f>
        <v>0</v>
      </c>
      <c r="AH335" s="11">
        <f>IF(AQ335="0",BJ335,0)</f>
        <v>0</v>
      </c>
      <c r="AI335" s="26" t="s">
        <v>77</v>
      </c>
      <c r="AJ335" s="20">
        <f>IF(AN335=0,K335,0)</f>
        <v>0</v>
      </c>
      <c r="AK335" s="20">
        <f>IF(AN335=15,K335,0)</f>
        <v>0</v>
      </c>
      <c r="AL335" s="20">
        <f>IF(AN335=21,K335,0)</f>
        <v>0</v>
      </c>
      <c r="AN335" s="11">
        <v>21</v>
      </c>
      <c r="AO335" s="11">
        <f>H335*0</f>
        <v>0</v>
      </c>
      <c r="AP335" s="11">
        <f>H335*(1-0)</f>
        <v>0</v>
      </c>
      <c r="AQ335" s="27" t="s">
        <v>144</v>
      </c>
      <c r="AV335" s="11">
        <f>AW335+AX335</f>
        <v>0</v>
      </c>
      <c r="AW335" s="11">
        <f>G335*AO335</f>
        <v>0</v>
      </c>
      <c r="AX335" s="11">
        <f>G335*AP335</f>
        <v>0</v>
      </c>
      <c r="AY335" s="29" t="s">
        <v>1083</v>
      </c>
      <c r="AZ335" s="29" t="s">
        <v>1113</v>
      </c>
      <c r="BA335" s="26" t="s">
        <v>1129</v>
      </c>
      <c r="BB335" s="26" t="s">
        <v>1140</v>
      </c>
      <c r="BC335" s="11">
        <f>AW335+AX335</f>
        <v>0</v>
      </c>
      <c r="BD335" s="11">
        <f>H335/(100-BE335)*100</f>
        <v>0</v>
      </c>
      <c r="BE335" s="11">
        <v>0</v>
      </c>
      <c r="BF335" s="11">
        <f>L335</f>
        <v>335</v>
      </c>
      <c r="BH335" s="20">
        <f>G335*AO335</f>
        <v>0</v>
      </c>
      <c r="BI335" s="20">
        <f>G335*AP335</f>
        <v>0</v>
      </c>
      <c r="BJ335" s="20">
        <f>G335*H335</f>
        <v>0</v>
      </c>
      <c r="BK335" s="20" t="s">
        <v>1164</v>
      </c>
      <c r="BL335" s="11">
        <v>766</v>
      </c>
    </row>
    <row r="336" spans="1:64" x14ac:dyDescent="0.2">
      <c r="A336" s="35"/>
      <c r="B336" s="36"/>
      <c r="C336" s="81" t="s">
        <v>138</v>
      </c>
      <c r="D336" s="36"/>
      <c r="E336" s="82" t="s">
        <v>997</v>
      </c>
      <c r="F336" s="36"/>
      <c r="G336" s="83">
        <v>1</v>
      </c>
      <c r="H336" s="36"/>
      <c r="I336" s="36"/>
      <c r="J336" s="36"/>
      <c r="K336" s="36"/>
      <c r="L336" s="36"/>
      <c r="M336" s="35"/>
      <c r="N336" s="32"/>
    </row>
    <row r="337" spans="1:64" x14ac:dyDescent="0.2">
      <c r="A337" s="84" t="s">
        <v>233</v>
      </c>
      <c r="B337" s="84" t="s">
        <v>433</v>
      </c>
      <c r="C337" s="198" t="s">
        <v>740</v>
      </c>
      <c r="D337" s="199"/>
      <c r="E337" s="199"/>
      <c r="F337" s="84" t="s">
        <v>1047</v>
      </c>
      <c r="G337" s="85">
        <v>1</v>
      </c>
      <c r="H337" s="85">
        <v>0</v>
      </c>
      <c r="I337" s="85">
        <f>G337*AO337</f>
        <v>0</v>
      </c>
      <c r="J337" s="85">
        <f>G337*AP337</f>
        <v>0</v>
      </c>
      <c r="K337" s="85">
        <f>G337*H337</f>
        <v>0</v>
      </c>
      <c r="L337" s="85">
        <f>G337*337</f>
        <v>337</v>
      </c>
      <c r="M337" s="95" t="s">
        <v>1066</v>
      </c>
      <c r="N337" s="32"/>
      <c r="Z337" s="11">
        <f>IF(AQ337="5",BJ337,0)</f>
        <v>0</v>
      </c>
      <c r="AB337" s="11">
        <f>IF(AQ337="1",BH337,0)</f>
        <v>0</v>
      </c>
      <c r="AC337" s="11">
        <f>IF(AQ337="1",BI337,0)</f>
        <v>0</v>
      </c>
      <c r="AD337" s="11">
        <f>IF(AQ337="7",BH337,0)</f>
        <v>0</v>
      </c>
      <c r="AE337" s="11">
        <f>IF(AQ337="7",BI337,0)</f>
        <v>0</v>
      </c>
      <c r="AF337" s="11">
        <f>IF(AQ337="2",BH337,0)</f>
        <v>0</v>
      </c>
      <c r="AG337" s="11">
        <f>IF(AQ337="2",BI337,0)</f>
        <v>0</v>
      </c>
      <c r="AH337" s="11">
        <f>IF(AQ337="0",BJ337,0)</f>
        <v>0</v>
      </c>
      <c r="AI337" s="26" t="s">
        <v>77</v>
      </c>
      <c r="AJ337" s="21">
        <f>IF(AN337=0,K337,0)</f>
        <v>0</v>
      </c>
      <c r="AK337" s="21">
        <f>IF(AN337=15,K337,0)</f>
        <v>0</v>
      </c>
      <c r="AL337" s="21">
        <f>IF(AN337=21,K337,0)</f>
        <v>0</v>
      </c>
      <c r="AN337" s="11">
        <v>21</v>
      </c>
      <c r="AO337" s="11">
        <f>H337*1</f>
        <v>0</v>
      </c>
      <c r="AP337" s="11">
        <f>H337*(1-1)</f>
        <v>0</v>
      </c>
      <c r="AQ337" s="28" t="s">
        <v>144</v>
      </c>
      <c r="AV337" s="11">
        <f>AW337+AX337</f>
        <v>0</v>
      </c>
      <c r="AW337" s="11">
        <f>G337*AO337</f>
        <v>0</v>
      </c>
      <c r="AX337" s="11">
        <f>G337*AP337</f>
        <v>0</v>
      </c>
      <c r="AY337" s="29" t="s">
        <v>1083</v>
      </c>
      <c r="AZ337" s="29" t="s">
        <v>1113</v>
      </c>
      <c r="BA337" s="26" t="s">
        <v>1129</v>
      </c>
      <c r="BC337" s="11">
        <f>AW337+AX337</f>
        <v>0</v>
      </c>
      <c r="BD337" s="11">
        <f>H337/(100-BE337)*100</f>
        <v>0</v>
      </c>
      <c r="BE337" s="11">
        <v>0</v>
      </c>
      <c r="BF337" s="11">
        <f>L337</f>
        <v>337</v>
      </c>
      <c r="BH337" s="21">
        <f>G337*AO337</f>
        <v>0</v>
      </c>
      <c r="BI337" s="21">
        <f>G337*AP337</f>
        <v>0</v>
      </c>
      <c r="BJ337" s="21">
        <f>G337*H337</f>
        <v>0</v>
      </c>
      <c r="BK337" s="21" t="s">
        <v>1165</v>
      </c>
      <c r="BL337" s="11">
        <v>766</v>
      </c>
    </row>
    <row r="338" spans="1:64" x14ac:dyDescent="0.2">
      <c r="A338" s="84" t="s">
        <v>234</v>
      </c>
      <c r="B338" s="84" t="s">
        <v>434</v>
      </c>
      <c r="C338" s="198" t="s">
        <v>741</v>
      </c>
      <c r="D338" s="199"/>
      <c r="E338" s="199"/>
      <c r="F338" s="84" t="s">
        <v>1047</v>
      </c>
      <c r="G338" s="85">
        <v>1</v>
      </c>
      <c r="H338" s="85">
        <v>0</v>
      </c>
      <c r="I338" s="85">
        <f>G338*AO338</f>
        <v>0</v>
      </c>
      <c r="J338" s="85">
        <f>G338*AP338</f>
        <v>0</v>
      </c>
      <c r="K338" s="85">
        <f>G338*H338</f>
        <v>0</v>
      </c>
      <c r="L338" s="85">
        <f>G338*338</f>
        <v>338</v>
      </c>
      <c r="M338" s="95" t="s">
        <v>1066</v>
      </c>
      <c r="N338" s="32"/>
      <c r="Z338" s="11">
        <f>IF(AQ338="5",BJ338,0)</f>
        <v>0</v>
      </c>
      <c r="AB338" s="11">
        <f>IF(AQ338="1",BH338,0)</f>
        <v>0</v>
      </c>
      <c r="AC338" s="11">
        <f>IF(AQ338="1",BI338,0)</f>
        <v>0</v>
      </c>
      <c r="AD338" s="11">
        <f>IF(AQ338="7",BH338,0)</f>
        <v>0</v>
      </c>
      <c r="AE338" s="11">
        <f>IF(AQ338="7",BI338,0)</f>
        <v>0</v>
      </c>
      <c r="AF338" s="11">
        <f>IF(AQ338="2",BH338,0)</f>
        <v>0</v>
      </c>
      <c r="AG338" s="11">
        <f>IF(AQ338="2",BI338,0)</f>
        <v>0</v>
      </c>
      <c r="AH338" s="11">
        <f>IF(AQ338="0",BJ338,0)</f>
        <v>0</v>
      </c>
      <c r="AI338" s="26" t="s">
        <v>77</v>
      </c>
      <c r="AJ338" s="21">
        <f>IF(AN338=0,K338,0)</f>
        <v>0</v>
      </c>
      <c r="AK338" s="21">
        <f>IF(AN338=15,K338,0)</f>
        <v>0</v>
      </c>
      <c r="AL338" s="21">
        <f>IF(AN338=21,K338,0)</f>
        <v>0</v>
      </c>
      <c r="AN338" s="11">
        <v>21</v>
      </c>
      <c r="AO338" s="11">
        <f>H338*1</f>
        <v>0</v>
      </c>
      <c r="AP338" s="11">
        <f>H338*(1-1)</f>
        <v>0</v>
      </c>
      <c r="AQ338" s="28" t="s">
        <v>144</v>
      </c>
      <c r="AV338" s="11">
        <f>AW338+AX338</f>
        <v>0</v>
      </c>
      <c r="AW338" s="11">
        <f>G338*AO338</f>
        <v>0</v>
      </c>
      <c r="AX338" s="11">
        <f>G338*AP338</f>
        <v>0</v>
      </c>
      <c r="AY338" s="29" t="s">
        <v>1083</v>
      </c>
      <c r="AZ338" s="29" t="s">
        <v>1113</v>
      </c>
      <c r="BA338" s="26" t="s">
        <v>1129</v>
      </c>
      <c r="BC338" s="11">
        <f>AW338+AX338</f>
        <v>0</v>
      </c>
      <c r="BD338" s="11">
        <f>H338/(100-BE338)*100</f>
        <v>0</v>
      </c>
      <c r="BE338" s="11">
        <v>0</v>
      </c>
      <c r="BF338" s="11">
        <f>L338</f>
        <v>338</v>
      </c>
      <c r="BH338" s="21">
        <f>G338*AO338</f>
        <v>0</v>
      </c>
      <c r="BI338" s="21">
        <f>G338*AP338</f>
        <v>0</v>
      </c>
      <c r="BJ338" s="21">
        <f>G338*H338</f>
        <v>0</v>
      </c>
      <c r="BK338" s="21" t="s">
        <v>1165</v>
      </c>
      <c r="BL338" s="11">
        <v>766</v>
      </c>
    </row>
    <row r="339" spans="1:64" x14ac:dyDescent="0.2">
      <c r="A339" s="77"/>
      <c r="B339" s="76" t="s">
        <v>91</v>
      </c>
      <c r="C339" s="204" t="s">
        <v>117</v>
      </c>
      <c r="D339" s="205"/>
      <c r="E339" s="205"/>
      <c r="F339" s="77" t="s">
        <v>60</v>
      </c>
      <c r="G339" s="77" t="s">
        <v>60</v>
      </c>
      <c r="H339" s="77" t="s">
        <v>60</v>
      </c>
      <c r="I339" s="78">
        <f>SUM(I340:I362)</f>
        <v>0</v>
      </c>
      <c r="J339" s="78">
        <f>SUM(J340:J362)</f>
        <v>0</v>
      </c>
      <c r="K339" s="78">
        <f>SUM(K340:K362)</f>
        <v>0</v>
      </c>
      <c r="L339" s="78">
        <f>SUM(L340:L362)</f>
        <v>32239.278419999999</v>
      </c>
      <c r="M339" s="93"/>
      <c r="N339" s="32"/>
      <c r="AI339" s="26" t="s">
        <v>77</v>
      </c>
      <c r="AS339" s="31">
        <f>SUM(AJ340:AJ362)</f>
        <v>0</v>
      </c>
      <c r="AT339" s="31">
        <f>SUM(AK340:AK362)</f>
        <v>0</v>
      </c>
      <c r="AU339" s="31">
        <f>SUM(AL340:AL362)</f>
        <v>0</v>
      </c>
    </row>
    <row r="340" spans="1:64" x14ac:dyDescent="0.2">
      <c r="A340" s="79" t="s">
        <v>235</v>
      </c>
      <c r="B340" s="79" t="s">
        <v>384</v>
      </c>
      <c r="C340" s="194" t="s">
        <v>589</v>
      </c>
      <c r="D340" s="195"/>
      <c r="E340" s="195"/>
      <c r="F340" s="79" t="s">
        <v>1050</v>
      </c>
      <c r="G340" s="80">
        <v>3.51</v>
      </c>
      <c r="H340" s="80">
        <v>0</v>
      </c>
      <c r="I340" s="80">
        <f>G340*AO340</f>
        <v>0</v>
      </c>
      <c r="J340" s="80">
        <f>G340*AP340</f>
        <v>0</v>
      </c>
      <c r="K340" s="80">
        <f>G340*H340</f>
        <v>0</v>
      </c>
      <c r="L340" s="80">
        <f>G340*340</f>
        <v>1193.3999999999999</v>
      </c>
      <c r="M340" s="94" t="s">
        <v>1066</v>
      </c>
      <c r="N340" s="32"/>
      <c r="Z340" s="11">
        <f>IF(AQ340="5",BJ340,0)</f>
        <v>0</v>
      </c>
      <c r="AB340" s="11">
        <f>IF(AQ340="1",BH340,0)</f>
        <v>0</v>
      </c>
      <c r="AC340" s="11">
        <f>IF(AQ340="1",BI340,0)</f>
        <v>0</v>
      </c>
      <c r="AD340" s="11">
        <f>IF(AQ340="7",BH340,0)</f>
        <v>0</v>
      </c>
      <c r="AE340" s="11">
        <f>IF(AQ340="7",BI340,0)</f>
        <v>0</v>
      </c>
      <c r="AF340" s="11">
        <f>IF(AQ340="2",BH340,0)</f>
        <v>0</v>
      </c>
      <c r="AG340" s="11">
        <f>IF(AQ340="2",BI340,0)</f>
        <v>0</v>
      </c>
      <c r="AH340" s="11">
        <f>IF(AQ340="0",BJ340,0)</f>
        <v>0</v>
      </c>
      <c r="AI340" s="26" t="s">
        <v>77</v>
      </c>
      <c r="AJ340" s="20">
        <f>IF(AN340=0,K340,0)</f>
        <v>0</v>
      </c>
      <c r="AK340" s="20">
        <f>IF(AN340=15,K340,0)</f>
        <v>0</v>
      </c>
      <c r="AL340" s="20">
        <f>IF(AN340=21,K340,0)</f>
        <v>0</v>
      </c>
      <c r="AN340" s="11">
        <v>21</v>
      </c>
      <c r="AO340" s="11">
        <f>H340*0</f>
        <v>0</v>
      </c>
      <c r="AP340" s="11">
        <f>H340*(1-0)</f>
        <v>0</v>
      </c>
      <c r="AQ340" s="27" t="s">
        <v>144</v>
      </c>
      <c r="AV340" s="11">
        <f>AW340+AX340</f>
        <v>0</v>
      </c>
      <c r="AW340" s="11">
        <f>G340*AO340</f>
        <v>0</v>
      </c>
      <c r="AX340" s="11">
        <f>G340*AP340</f>
        <v>0</v>
      </c>
      <c r="AY340" s="29" t="s">
        <v>1084</v>
      </c>
      <c r="AZ340" s="29" t="s">
        <v>1114</v>
      </c>
      <c r="BA340" s="26" t="s">
        <v>1129</v>
      </c>
      <c r="BB340" s="26" t="s">
        <v>1141</v>
      </c>
      <c r="BC340" s="11">
        <f>AW340+AX340</f>
        <v>0</v>
      </c>
      <c r="BD340" s="11">
        <f>H340/(100-BE340)*100</f>
        <v>0</v>
      </c>
      <c r="BE340" s="11">
        <v>0</v>
      </c>
      <c r="BF340" s="11">
        <f>L340</f>
        <v>1193.3999999999999</v>
      </c>
      <c r="BH340" s="20">
        <f>G340*AO340</f>
        <v>0</v>
      </c>
      <c r="BI340" s="20">
        <f>G340*AP340</f>
        <v>0</v>
      </c>
      <c r="BJ340" s="20">
        <f>G340*H340</f>
        <v>0</v>
      </c>
      <c r="BK340" s="20" t="s">
        <v>1164</v>
      </c>
      <c r="BL340" s="11">
        <v>771</v>
      </c>
    </row>
    <row r="341" spans="1:64" x14ac:dyDescent="0.2">
      <c r="A341" s="35"/>
      <c r="B341" s="36"/>
      <c r="C341" s="81" t="s">
        <v>742</v>
      </c>
      <c r="D341" s="36"/>
      <c r="E341" s="82" t="s">
        <v>998</v>
      </c>
      <c r="F341" s="36"/>
      <c r="G341" s="83">
        <v>3.51</v>
      </c>
      <c r="H341" s="36"/>
      <c r="I341" s="36"/>
      <c r="J341" s="36"/>
      <c r="K341" s="36"/>
      <c r="L341" s="36"/>
      <c r="M341" s="35"/>
      <c r="N341" s="32"/>
    </row>
    <row r="342" spans="1:64" x14ac:dyDescent="0.2">
      <c r="A342" s="79" t="s">
        <v>236</v>
      </c>
      <c r="B342" s="79" t="s">
        <v>385</v>
      </c>
      <c r="C342" s="194" t="s">
        <v>591</v>
      </c>
      <c r="D342" s="195"/>
      <c r="E342" s="195"/>
      <c r="F342" s="79" t="s">
        <v>1050</v>
      </c>
      <c r="G342" s="80">
        <v>3.51</v>
      </c>
      <c r="H342" s="80">
        <v>0</v>
      </c>
      <c r="I342" s="80">
        <f>G342*AO342</f>
        <v>0</v>
      </c>
      <c r="J342" s="80">
        <f>G342*AP342</f>
        <v>0</v>
      </c>
      <c r="K342" s="80">
        <f>G342*H342</f>
        <v>0</v>
      </c>
      <c r="L342" s="80">
        <f>G342*342</f>
        <v>1200.4199999999998</v>
      </c>
      <c r="M342" s="94" t="s">
        <v>1066</v>
      </c>
      <c r="N342" s="32"/>
      <c r="Z342" s="11">
        <f>IF(AQ342="5",BJ342,0)</f>
        <v>0</v>
      </c>
      <c r="AB342" s="11">
        <f>IF(AQ342="1",BH342,0)</f>
        <v>0</v>
      </c>
      <c r="AC342" s="11">
        <f>IF(AQ342="1",BI342,0)</f>
        <v>0</v>
      </c>
      <c r="AD342" s="11">
        <f>IF(AQ342="7",BH342,0)</f>
        <v>0</v>
      </c>
      <c r="AE342" s="11">
        <f>IF(AQ342="7",BI342,0)</f>
        <v>0</v>
      </c>
      <c r="AF342" s="11">
        <f>IF(AQ342="2",BH342,0)</f>
        <v>0</v>
      </c>
      <c r="AG342" s="11">
        <f>IF(AQ342="2",BI342,0)</f>
        <v>0</v>
      </c>
      <c r="AH342" s="11">
        <f>IF(AQ342="0",BJ342,0)</f>
        <v>0</v>
      </c>
      <c r="AI342" s="26" t="s">
        <v>77</v>
      </c>
      <c r="AJ342" s="20">
        <f>IF(AN342=0,K342,0)</f>
        <v>0</v>
      </c>
      <c r="AK342" s="20">
        <f>IF(AN342=15,K342,0)</f>
        <v>0</v>
      </c>
      <c r="AL342" s="20">
        <f>IF(AN342=21,K342,0)</f>
        <v>0</v>
      </c>
      <c r="AN342" s="11">
        <v>21</v>
      </c>
      <c r="AO342" s="11">
        <f>H342*0</f>
        <v>0</v>
      </c>
      <c r="AP342" s="11">
        <f>H342*(1-0)</f>
        <v>0</v>
      </c>
      <c r="AQ342" s="27" t="s">
        <v>144</v>
      </c>
      <c r="AV342" s="11">
        <f>AW342+AX342</f>
        <v>0</v>
      </c>
      <c r="AW342" s="11">
        <f>G342*AO342</f>
        <v>0</v>
      </c>
      <c r="AX342" s="11">
        <f>G342*AP342</f>
        <v>0</v>
      </c>
      <c r="AY342" s="29" t="s">
        <v>1084</v>
      </c>
      <c r="AZ342" s="29" t="s">
        <v>1114</v>
      </c>
      <c r="BA342" s="26" t="s">
        <v>1129</v>
      </c>
      <c r="BB342" s="26" t="s">
        <v>1141</v>
      </c>
      <c r="BC342" s="11">
        <f>AW342+AX342</f>
        <v>0</v>
      </c>
      <c r="BD342" s="11">
        <f>H342/(100-BE342)*100</f>
        <v>0</v>
      </c>
      <c r="BE342" s="11">
        <v>0</v>
      </c>
      <c r="BF342" s="11">
        <f>L342</f>
        <v>1200.4199999999998</v>
      </c>
      <c r="BH342" s="20">
        <f>G342*AO342</f>
        <v>0</v>
      </c>
      <c r="BI342" s="20">
        <f>G342*AP342</f>
        <v>0</v>
      </c>
      <c r="BJ342" s="20">
        <f>G342*H342</f>
        <v>0</v>
      </c>
      <c r="BK342" s="20" t="s">
        <v>1164</v>
      </c>
      <c r="BL342" s="11">
        <v>771</v>
      </c>
    </row>
    <row r="343" spans="1:64" x14ac:dyDescent="0.2">
      <c r="A343" s="35"/>
      <c r="B343" s="36"/>
      <c r="C343" s="81" t="s">
        <v>743</v>
      </c>
      <c r="D343" s="36"/>
      <c r="E343" s="82" t="s">
        <v>999</v>
      </c>
      <c r="F343" s="36"/>
      <c r="G343" s="83">
        <v>3.51</v>
      </c>
      <c r="H343" s="36"/>
      <c r="I343" s="36"/>
      <c r="J343" s="36"/>
      <c r="K343" s="36"/>
      <c r="L343" s="36"/>
      <c r="M343" s="35"/>
      <c r="N343" s="32"/>
    </row>
    <row r="344" spans="1:64" x14ac:dyDescent="0.2">
      <c r="A344" s="79" t="s">
        <v>237</v>
      </c>
      <c r="B344" s="79" t="s">
        <v>387</v>
      </c>
      <c r="C344" s="194" t="s">
        <v>595</v>
      </c>
      <c r="D344" s="195"/>
      <c r="E344" s="195"/>
      <c r="F344" s="79" t="s">
        <v>1050</v>
      </c>
      <c r="G344" s="80">
        <v>3.51</v>
      </c>
      <c r="H344" s="80">
        <v>0</v>
      </c>
      <c r="I344" s="80">
        <f>G344*AO344</f>
        <v>0</v>
      </c>
      <c r="J344" s="80">
        <f>G344*AP344</f>
        <v>0</v>
      </c>
      <c r="K344" s="80">
        <f>G344*H344</f>
        <v>0</v>
      </c>
      <c r="L344" s="80">
        <f>G344*344</f>
        <v>1207.4399999999998</v>
      </c>
      <c r="M344" s="94" t="s">
        <v>1066</v>
      </c>
      <c r="N344" s="32"/>
      <c r="Z344" s="11">
        <f>IF(AQ344="5",BJ344,0)</f>
        <v>0</v>
      </c>
      <c r="AB344" s="11">
        <f>IF(AQ344="1",BH344,0)</f>
        <v>0</v>
      </c>
      <c r="AC344" s="11">
        <f>IF(AQ344="1",BI344,0)</f>
        <v>0</v>
      </c>
      <c r="AD344" s="11">
        <f>IF(AQ344="7",BH344,0)</f>
        <v>0</v>
      </c>
      <c r="AE344" s="11">
        <f>IF(AQ344="7",BI344,0)</f>
        <v>0</v>
      </c>
      <c r="AF344" s="11">
        <f>IF(AQ344="2",BH344,0)</f>
        <v>0</v>
      </c>
      <c r="AG344" s="11">
        <f>IF(AQ344="2",BI344,0)</f>
        <v>0</v>
      </c>
      <c r="AH344" s="11">
        <f>IF(AQ344="0",BJ344,0)</f>
        <v>0</v>
      </c>
      <c r="AI344" s="26" t="s">
        <v>77</v>
      </c>
      <c r="AJ344" s="20">
        <f>IF(AN344=0,K344,0)</f>
        <v>0</v>
      </c>
      <c r="AK344" s="20">
        <f>IF(AN344=15,K344,0)</f>
        <v>0</v>
      </c>
      <c r="AL344" s="20">
        <f>IF(AN344=21,K344,0)</f>
        <v>0</v>
      </c>
      <c r="AN344" s="11">
        <v>21</v>
      </c>
      <c r="AO344" s="11">
        <f>H344*0.208796147672552</f>
        <v>0</v>
      </c>
      <c r="AP344" s="11">
        <f>H344*(1-0.208796147672552)</f>
        <v>0</v>
      </c>
      <c r="AQ344" s="27" t="s">
        <v>144</v>
      </c>
      <c r="AV344" s="11">
        <f>AW344+AX344</f>
        <v>0</v>
      </c>
      <c r="AW344" s="11">
        <f>G344*AO344</f>
        <v>0</v>
      </c>
      <c r="AX344" s="11">
        <f>G344*AP344</f>
        <v>0</v>
      </c>
      <c r="AY344" s="29" t="s">
        <v>1084</v>
      </c>
      <c r="AZ344" s="29" t="s">
        <v>1114</v>
      </c>
      <c r="BA344" s="26" t="s">
        <v>1129</v>
      </c>
      <c r="BB344" s="26" t="s">
        <v>1141</v>
      </c>
      <c r="BC344" s="11">
        <f>AW344+AX344</f>
        <v>0</v>
      </c>
      <c r="BD344" s="11">
        <f>H344/(100-BE344)*100</f>
        <v>0</v>
      </c>
      <c r="BE344" s="11">
        <v>0</v>
      </c>
      <c r="BF344" s="11">
        <f>L344</f>
        <v>1207.4399999999998</v>
      </c>
      <c r="BH344" s="20">
        <f>G344*AO344</f>
        <v>0</v>
      </c>
      <c r="BI344" s="20">
        <f>G344*AP344</f>
        <v>0</v>
      </c>
      <c r="BJ344" s="20">
        <f>G344*H344</f>
        <v>0</v>
      </c>
      <c r="BK344" s="20" t="s">
        <v>1164</v>
      </c>
      <c r="BL344" s="11">
        <v>771</v>
      </c>
    </row>
    <row r="345" spans="1:64" x14ac:dyDescent="0.2">
      <c r="A345" s="35"/>
      <c r="B345" s="36"/>
      <c r="C345" s="81" t="s">
        <v>743</v>
      </c>
      <c r="D345" s="36"/>
      <c r="E345" s="82"/>
      <c r="F345" s="36"/>
      <c r="G345" s="83">
        <v>3.51</v>
      </c>
      <c r="H345" s="36"/>
      <c r="I345" s="36"/>
      <c r="J345" s="36"/>
      <c r="K345" s="36"/>
      <c r="L345" s="36"/>
      <c r="M345" s="35"/>
      <c r="N345" s="32"/>
    </row>
    <row r="346" spans="1:64" x14ac:dyDescent="0.2">
      <c r="A346" s="79" t="s">
        <v>238</v>
      </c>
      <c r="B346" s="79" t="s">
        <v>389</v>
      </c>
      <c r="C346" s="194" t="s">
        <v>599</v>
      </c>
      <c r="D346" s="195"/>
      <c r="E346" s="195"/>
      <c r="F346" s="79" t="s">
        <v>1051</v>
      </c>
      <c r="G346" s="80">
        <v>4</v>
      </c>
      <c r="H346" s="80">
        <v>0</v>
      </c>
      <c r="I346" s="80">
        <f>G346*AO346</f>
        <v>0</v>
      </c>
      <c r="J346" s="80">
        <f>G346*AP346</f>
        <v>0</v>
      </c>
      <c r="K346" s="80">
        <f>G346*H346</f>
        <v>0</v>
      </c>
      <c r="L346" s="80">
        <f>G346*346</f>
        <v>1384</v>
      </c>
      <c r="M346" s="94" t="s">
        <v>1066</v>
      </c>
      <c r="N346" s="32"/>
      <c r="Z346" s="11">
        <f>IF(AQ346="5",BJ346,0)</f>
        <v>0</v>
      </c>
      <c r="AB346" s="11">
        <f>IF(AQ346="1",BH346,0)</f>
        <v>0</v>
      </c>
      <c r="AC346" s="11">
        <f>IF(AQ346="1",BI346,0)</f>
        <v>0</v>
      </c>
      <c r="AD346" s="11">
        <f>IF(AQ346="7",BH346,0)</f>
        <v>0</v>
      </c>
      <c r="AE346" s="11">
        <f>IF(AQ346="7",BI346,0)</f>
        <v>0</v>
      </c>
      <c r="AF346" s="11">
        <f>IF(AQ346="2",BH346,0)</f>
        <v>0</v>
      </c>
      <c r="AG346" s="11">
        <f>IF(AQ346="2",BI346,0)</f>
        <v>0</v>
      </c>
      <c r="AH346" s="11">
        <f>IF(AQ346="0",BJ346,0)</f>
        <v>0</v>
      </c>
      <c r="AI346" s="26" t="s">
        <v>77</v>
      </c>
      <c r="AJ346" s="20">
        <f>IF(AN346=0,K346,0)</f>
        <v>0</v>
      </c>
      <c r="AK346" s="20">
        <f>IF(AN346=15,K346,0)</f>
        <v>0</v>
      </c>
      <c r="AL346" s="20">
        <f>IF(AN346=21,K346,0)</f>
        <v>0</v>
      </c>
      <c r="AN346" s="11">
        <v>21</v>
      </c>
      <c r="AO346" s="11">
        <f>H346*0.0814608910508841</f>
        <v>0</v>
      </c>
      <c r="AP346" s="11">
        <f>H346*(1-0.0814608910508841)</f>
        <v>0</v>
      </c>
      <c r="AQ346" s="27" t="s">
        <v>144</v>
      </c>
      <c r="AV346" s="11">
        <f>AW346+AX346</f>
        <v>0</v>
      </c>
      <c r="AW346" s="11">
        <f>G346*AO346</f>
        <v>0</v>
      </c>
      <c r="AX346" s="11">
        <f>G346*AP346</f>
        <v>0</v>
      </c>
      <c r="AY346" s="29" t="s">
        <v>1084</v>
      </c>
      <c r="AZ346" s="29" t="s">
        <v>1114</v>
      </c>
      <c r="BA346" s="26" t="s">
        <v>1129</v>
      </c>
      <c r="BB346" s="26" t="s">
        <v>1141</v>
      </c>
      <c r="BC346" s="11">
        <f>AW346+AX346</f>
        <v>0</v>
      </c>
      <c r="BD346" s="11">
        <f>H346/(100-BE346)*100</f>
        <v>0</v>
      </c>
      <c r="BE346" s="11">
        <v>0</v>
      </c>
      <c r="BF346" s="11">
        <f>L346</f>
        <v>1384</v>
      </c>
      <c r="BH346" s="20">
        <f>G346*AO346</f>
        <v>0</v>
      </c>
      <c r="BI346" s="20">
        <f>G346*AP346</f>
        <v>0</v>
      </c>
      <c r="BJ346" s="20">
        <f>G346*H346</f>
        <v>0</v>
      </c>
      <c r="BK346" s="20" t="s">
        <v>1164</v>
      </c>
      <c r="BL346" s="11">
        <v>771</v>
      </c>
    </row>
    <row r="347" spans="1:64" x14ac:dyDescent="0.2">
      <c r="A347" s="35"/>
      <c r="B347" s="36"/>
      <c r="C347" s="81" t="s">
        <v>744</v>
      </c>
      <c r="D347" s="36"/>
      <c r="E347" s="82" t="s">
        <v>941</v>
      </c>
      <c r="F347" s="36"/>
      <c r="G347" s="83">
        <v>4</v>
      </c>
      <c r="H347" s="36"/>
      <c r="I347" s="36"/>
      <c r="J347" s="36"/>
      <c r="K347" s="36"/>
      <c r="L347" s="36"/>
      <c r="M347" s="35"/>
      <c r="N347" s="32"/>
    </row>
    <row r="348" spans="1:64" x14ac:dyDescent="0.2">
      <c r="A348" s="79" t="s">
        <v>239</v>
      </c>
      <c r="B348" s="79" t="s">
        <v>390</v>
      </c>
      <c r="C348" s="194" t="s">
        <v>604</v>
      </c>
      <c r="D348" s="195"/>
      <c r="E348" s="195"/>
      <c r="F348" s="79" t="s">
        <v>1051</v>
      </c>
      <c r="G348" s="80">
        <v>4</v>
      </c>
      <c r="H348" s="80">
        <v>0</v>
      </c>
      <c r="I348" s="80">
        <f>G348*AO348</f>
        <v>0</v>
      </c>
      <c r="J348" s="80">
        <f>G348*AP348</f>
        <v>0</v>
      </c>
      <c r="K348" s="80">
        <f>G348*H348</f>
        <v>0</v>
      </c>
      <c r="L348" s="80">
        <f>G348*348</f>
        <v>1392</v>
      </c>
      <c r="M348" s="94" t="s">
        <v>1066</v>
      </c>
      <c r="N348" s="32"/>
      <c r="Z348" s="11">
        <f>IF(AQ348="5",BJ348,0)</f>
        <v>0</v>
      </c>
      <c r="AB348" s="11">
        <f>IF(AQ348="1",BH348,0)</f>
        <v>0</v>
      </c>
      <c r="AC348" s="11">
        <f>IF(AQ348="1",BI348,0)</f>
        <v>0</v>
      </c>
      <c r="AD348" s="11">
        <f>IF(AQ348="7",BH348,0)</f>
        <v>0</v>
      </c>
      <c r="AE348" s="11">
        <f>IF(AQ348="7",BI348,0)</f>
        <v>0</v>
      </c>
      <c r="AF348" s="11">
        <f>IF(AQ348="2",BH348,0)</f>
        <v>0</v>
      </c>
      <c r="AG348" s="11">
        <f>IF(AQ348="2",BI348,0)</f>
        <v>0</v>
      </c>
      <c r="AH348" s="11">
        <f>IF(AQ348="0",BJ348,0)</f>
        <v>0</v>
      </c>
      <c r="AI348" s="26" t="s">
        <v>77</v>
      </c>
      <c r="AJ348" s="20">
        <f>IF(AN348=0,K348,0)</f>
        <v>0</v>
      </c>
      <c r="AK348" s="20">
        <f>IF(AN348=15,K348,0)</f>
        <v>0</v>
      </c>
      <c r="AL348" s="20">
        <f>IF(AN348=21,K348,0)</f>
        <v>0</v>
      </c>
      <c r="AN348" s="11">
        <v>21</v>
      </c>
      <c r="AO348" s="11">
        <f>H348*0.0575921793645734</f>
        <v>0</v>
      </c>
      <c r="AP348" s="11">
        <f>H348*(1-0.0575921793645734)</f>
        <v>0</v>
      </c>
      <c r="AQ348" s="27" t="s">
        <v>144</v>
      </c>
      <c r="AV348" s="11">
        <f>AW348+AX348</f>
        <v>0</v>
      </c>
      <c r="AW348" s="11">
        <f>G348*AO348</f>
        <v>0</v>
      </c>
      <c r="AX348" s="11">
        <f>G348*AP348</f>
        <v>0</v>
      </c>
      <c r="AY348" s="29" t="s">
        <v>1084</v>
      </c>
      <c r="AZ348" s="29" t="s">
        <v>1114</v>
      </c>
      <c r="BA348" s="26" t="s">
        <v>1129</v>
      </c>
      <c r="BB348" s="26" t="s">
        <v>1141</v>
      </c>
      <c r="BC348" s="11">
        <f>AW348+AX348</f>
        <v>0</v>
      </c>
      <c r="BD348" s="11">
        <f>H348/(100-BE348)*100</f>
        <v>0</v>
      </c>
      <c r="BE348" s="11">
        <v>0</v>
      </c>
      <c r="BF348" s="11">
        <f>L348</f>
        <v>1392</v>
      </c>
      <c r="BH348" s="20">
        <f>G348*AO348</f>
        <v>0</v>
      </c>
      <c r="BI348" s="20">
        <f>G348*AP348</f>
        <v>0</v>
      </c>
      <c r="BJ348" s="20">
        <f>G348*H348</f>
        <v>0</v>
      </c>
      <c r="BK348" s="20" t="s">
        <v>1164</v>
      </c>
      <c r="BL348" s="11">
        <v>771</v>
      </c>
    </row>
    <row r="349" spans="1:64" x14ac:dyDescent="0.2">
      <c r="A349" s="35"/>
      <c r="B349" s="36"/>
      <c r="C349" s="81" t="s">
        <v>141</v>
      </c>
      <c r="D349" s="36"/>
      <c r="E349" s="82"/>
      <c r="F349" s="36"/>
      <c r="G349" s="83">
        <v>4</v>
      </c>
      <c r="H349" s="36"/>
      <c r="I349" s="36"/>
      <c r="J349" s="36"/>
      <c r="K349" s="36"/>
      <c r="L349" s="36"/>
      <c r="M349" s="35"/>
      <c r="N349" s="32"/>
    </row>
    <row r="350" spans="1:64" x14ac:dyDescent="0.2">
      <c r="A350" s="79" t="s">
        <v>240</v>
      </c>
      <c r="B350" s="79" t="s">
        <v>394</v>
      </c>
      <c r="C350" s="194" t="s">
        <v>611</v>
      </c>
      <c r="D350" s="195"/>
      <c r="E350" s="195"/>
      <c r="F350" s="79" t="s">
        <v>1051</v>
      </c>
      <c r="G350" s="80">
        <v>4</v>
      </c>
      <c r="H350" s="80">
        <v>0</v>
      </c>
      <c r="I350" s="80">
        <f>G350*AO350</f>
        <v>0</v>
      </c>
      <c r="J350" s="80">
        <f>G350*AP350</f>
        <v>0</v>
      </c>
      <c r="K350" s="80">
        <f>G350*H350</f>
        <v>0</v>
      </c>
      <c r="L350" s="80">
        <f>G350*350</f>
        <v>1400</v>
      </c>
      <c r="M350" s="94" t="s">
        <v>1066</v>
      </c>
      <c r="N350" s="32"/>
      <c r="Z350" s="11">
        <f>IF(AQ350="5",BJ350,0)</f>
        <v>0</v>
      </c>
      <c r="AB350" s="11">
        <f>IF(AQ350="1",BH350,0)</f>
        <v>0</v>
      </c>
      <c r="AC350" s="11">
        <f>IF(AQ350="1",BI350,0)</f>
        <v>0</v>
      </c>
      <c r="AD350" s="11">
        <f>IF(AQ350="7",BH350,0)</f>
        <v>0</v>
      </c>
      <c r="AE350" s="11">
        <f>IF(AQ350="7",BI350,0)</f>
        <v>0</v>
      </c>
      <c r="AF350" s="11">
        <f>IF(AQ350="2",BH350,0)</f>
        <v>0</v>
      </c>
      <c r="AG350" s="11">
        <f>IF(AQ350="2",BI350,0)</f>
        <v>0</v>
      </c>
      <c r="AH350" s="11">
        <f>IF(AQ350="0",BJ350,0)</f>
        <v>0</v>
      </c>
      <c r="AI350" s="26" t="s">
        <v>77</v>
      </c>
      <c r="AJ350" s="20">
        <f>IF(AN350=0,K350,0)</f>
        <v>0</v>
      </c>
      <c r="AK350" s="20">
        <f>IF(AN350=15,K350,0)</f>
        <v>0</v>
      </c>
      <c r="AL350" s="20">
        <f>IF(AN350=21,K350,0)</f>
        <v>0</v>
      </c>
      <c r="AN350" s="11">
        <v>21</v>
      </c>
      <c r="AO350" s="11">
        <f>H350*0.381961471103327</f>
        <v>0</v>
      </c>
      <c r="AP350" s="11">
        <f>H350*(1-0.381961471103327)</f>
        <v>0</v>
      </c>
      <c r="AQ350" s="27" t="s">
        <v>144</v>
      </c>
      <c r="AV350" s="11">
        <f>AW350+AX350</f>
        <v>0</v>
      </c>
      <c r="AW350" s="11">
        <f>G350*AO350</f>
        <v>0</v>
      </c>
      <c r="AX350" s="11">
        <f>G350*AP350</f>
        <v>0</v>
      </c>
      <c r="AY350" s="29" t="s">
        <v>1084</v>
      </c>
      <c r="AZ350" s="29" t="s">
        <v>1114</v>
      </c>
      <c r="BA350" s="26" t="s">
        <v>1129</v>
      </c>
      <c r="BB350" s="26" t="s">
        <v>1141</v>
      </c>
      <c r="BC350" s="11">
        <f>AW350+AX350</f>
        <v>0</v>
      </c>
      <c r="BD350" s="11">
        <f>H350/(100-BE350)*100</f>
        <v>0</v>
      </c>
      <c r="BE350" s="11">
        <v>0</v>
      </c>
      <c r="BF350" s="11">
        <f>L350</f>
        <v>1400</v>
      </c>
      <c r="BH350" s="20">
        <f>G350*AO350</f>
        <v>0</v>
      </c>
      <c r="BI350" s="20">
        <f>G350*AP350</f>
        <v>0</v>
      </c>
      <c r="BJ350" s="20">
        <f>G350*H350</f>
        <v>0</v>
      </c>
      <c r="BK350" s="20" t="s">
        <v>1164</v>
      </c>
      <c r="BL350" s="11">
        <v>771</v>
      </c>
    </row>
    <row r="351" spans="1:64" x14ac:dyDescent="0.2">
      <c r="A351" s="35"/>
      <c r="B351" s="36"/>
      <c r="C351" s="81" t="s">
        <v>141</v>
      </c>
      <c r="D351" s="36"/>
      <c r="E351" s="82"/>
      <c r="F351" s="36"/>
      <c r="G351" s="83">
        <v>4</v>
      </c>
      <c r="H351" s="36"/>
      <c r="I351" s="36"/>
      <c r="J351" s="36"/>
      <c r="K351" s="36"/>
      <c r="L351" s="36"/>
      <c r="M351" s="35"/>
      <c r="N351" s="32"/>
    </row>
    <row r="352" spans="1:64" x14ac:dyDescent="0.2">
      <c r="A352" s="79" t="s">
        <v>241</v>
      </c>
      <c r="B352" s="79" t="s">
        <v>395</v>
      </c>
      <c r="C352" s="194" t="s">
        <v>613</v>
      </c>
      <c r="D352" s="195"/>
      <c r="E352" s="195"/>
      <c r="F352" s="79" t="s">
        <v>1050</v>
      </c>
      <c r="G352" s="80">
        <v>3.51</v>
      </c>
      <c r="H352" s="80">
        <v>0</v>
      </c>
      <c r="I352" s="80">
        <f>G352*AO352</f>
        <v>0</v>
      </c>
      <c r="J352" s="80">
        <f>G352*AP352</f>
        <v>0</v>
      </c>
      <c r="K352" s="80">
        <f>G352*H352</f>
        <v>0</v>
      </c>
      <c r="L352" s="80">
        <f>G352*352</f>
        <v>1235.52</v>
      </c>
      <c r="M352" s="94" t="s">
        <v>1066</v>
      </c>
      <c r="N352" s="32"/>
      <c r="Z352" s="11">
        <f>IF(AQ352="5",BJ352,0)</f>
        <v>0</v>
      </c>
      <c r="AB352" s="11">
        <f>IF(AQ352="1",BH352,0)</f>
        <v>0</v>
      </c>
      <c r="AC352" s="11">
        <f>IF(AQ352="1",BI352,0)</f>
        <v>0</v>
      </c>
      <c r="AD352" s="11">
        <f>IF(AQ352="7",BH352,0)</f>
        <v>0</v>
      </c>
      <c r="AE352" s="11">
        <f>IF(AQ352="7",BI352,0)</f>
        <v>0</v>
      </c>
      <c r="AF352" s="11">
        <f>IF(AQ352="2",BH352,0)</f>
        <v>0</v>
      </c>
      <c r="AG352" s="11">
        <f>IF(AQ352="2",BI352,0)</f>
        <v>0</v>
      </c>
      <c r="AH352" s="11">
        <f>IF(AQ352="0",BJ352,0)</f>
        <v>0</v>
      </c>
      <c r="AI352" s="26" t="s">
        <v>77</v>
      </c>
      <c r="AJ352" s="20">
        <f>IF(AN352=0,K352,0)</f>
        <v>0</v>
      </c>
      <c r="AK352" s="20">
        <f>IF(AN352=15,K352,0)</f>
        <v>0</v>
      </c>
      <c r="AL352" s="20">
        <f>IF(AN352=21,K352,0)</f>
        <v>0</v>
      </c>
      <c r="AN352" s="11">
        <v>21</v>
      </c>
      <c r="AO352" s="11">
        <f>H352*0</f>
        <v>0</v>
      </c>
      <c r="AP352" s="11">
        <f>H352*(1-0)</f>
        <v>0</v>
      </c>
      <c r="AQ352" s="27" t="s">
        <v>144</v>
      </c>
      <c r="AV352" s="11">
        <f>AW352+AX352</f>
        <v>0</v>
      </c>
      <c r="AW352" s="11">
        <f>G352*AO352</f>
        <v>0</v>
      </c>
      <c r="AX352" s="11">
        <f>G352*AP352</f>
        <v>0</v>
      </c>
      <c r="AY352" s="29" t="s">
        <v>1084</v>
      </c>
      <c r="AZ352" s="29" t="s">
        <v>1114</v>
      </c>
      <c r="BA352" s="26" t="s">
        <v>1129</v>
      </c>
      <c r="BB352" s="26" t="s">
        <v>1141</v>
      </c>
      <c r="BC352" s="11">
        <f>AW352+AX352</f>
        <v>0</v>
      </c>
      <c r="BD352" s="11">
        <f>H352/(100-BE352)*100</f>
        <v>0</v>
      </c>
      <c r="BE352" s="11">
        <v>0</v>
      </c>
      <c r="BF352" s="11">
        <f>L352</f>
        <v>1235.52</v>
      </c>
      <c r="BH352" s="20">
        <f>G352*AO352</f>
        <v>0</v>
      </c>
      <c r="BI352" s="20">
        <f>G352*AP352</f>
        <v>0</v>
      </c>
      <c r="BJ352" s="20">
        <f>G352*H352</f>
        <v>0</v>
      </c>
      <c r="BK352" s="20" t="s">
        <v>1164</v>
      </c>
      <c r="BL352" s="11">
        <v>771</v>
      </c>
    </row>
    <row r="353" spans="1:64" x14ac:dyDescent="0.2">
      <c r="A353" s="35"/>
      <c r="B353" s="36"/>
      <c r="C353" s="81" t="s">
        <v>743</v>
      </c>
      <c r="D353" s="36"/>
      <c r="E353" s="82"/>
      <c r="F353" s="36"/>
      <c r="G353" s="83">
        <v>3.51</v>
      </c>
      <c r="H353" s="36"/>
      <c r="I353" s="36"/>
      <c r="J353" s="36"/>
      <c r="K353" s="36"/>
      <c r="L353" s="36"/>
      <c r="M353" s="35"/>
      <c r="N353" s="32"/>
    </row>
    <row r="354" spans="1:64" x14ac:dyDescent="0.2">
      <c r="A354" s="84" t="s">
        <v>242</v>
      </c>
      <c r="B354" s="84" t="s">
        <v>386</v>
      </c>
      <c r="C354" s="198" t="s">
        <v>745</v>
      </c>
      <c r="D354" s="199"/>
      <c r="E354" s="199"/>
      <c r="F354" s="84" t="s">
        <v>1053</v>
      </c>
      <c r="G354" s="85">
        <v>5.2650000000000002E-2</v>
      </c>
      <c r="H354" s="85">
        <v>0</v>
      </c>
      <c r="I354" s="85">
        <f>G354*AO354</f>
        <v>0</v>
      </c>
      <c r="J354" s="85">
        <f>G354*AP354</f>
        <v>0</v>
      </c>
      <c r="K354" s="85">
        <f>G354*H354</f>
        <v>0</v>
      </c>
      <c r="L354" s="85">
        <f>G354*354</f>
        <v>18.638100000000001</v>
      </c>
      <c r="M354" s="95" t="s">
        <v>1067</v>
      </c>
      <c r="N354" s="32"/>
      <c r="Z354" s="11">
        <f>IF(AQ354="5",BJ354,0)</f>
        <v>0</v>
      </c>
      <c r="AB354" s="11">
        <f>IF(AQ354="1",BH354,0)</f>
        <v>0</v>
      </c>
      <c r="AC354" s="11">
        <f>IF(AQ354="1",BI354,0)</f>
        <v>0</v>
      </c>
      <c r="AD354" s="11">
        <f>IF(AQ354="7",BH354,0)</f>
        <v>0</v>
      </c>
      <c r="AE354" s="11">
        <f>IF(AQ354="7",BI354,0)</f>
        <v>0</v>
      </c>
      <c r="AF354" s="11">
        <f>IF(AQ354="2",BH354,0)</f>
        <v>0</v>
      </c>
      <c r="AG354" s="11">
        <f>IF(AQ354="2",BI354,0)</f>
        <v>0</v>
      </c>
      <c r="AH354" s="11">
        <f>IF(AQ354="0",BJ354,0)</f>
        <v>0</v>
      </c>
      <c r="AI354" s="26" t="s">
        <v>77</v>
      </c>
      <c r="AJ354" s="21">
        <f>IF(AN354=0,K354,0)</f>
        <v>0</v>
      </c>
      <c r="AK354" s="21">
        <f>IF(AN354=15,K354,0)</f>
        <v>0</v>
      </c>
      <c r="AL354" s="21">
        <f>IF(AN354=21,K354,0)</f>
        <v>0</v>
      </c>
      <c r="AN354" s="11">
        <v>21</v>
      </c>
      <c r="AO354" s="11">
        <f>H354*1</f>
        <v>0</v>
      </c>
      <c r="AP354" s="11">
        <f>H354*(1-1)</f>
        <v>0</v>
      </c>
      <c r="AQ354" s="28" t="s">
        <v>144</v>
      </c>
      <c r="AV354" s="11">
        <f>AW354+AX354</f>
        <v>0</v>
      </c>
      <c r="AW354" s="11">
        <f>G354*AO354</f>
        <v>0</v>
      </c>
      <c r="AX354" s="11">
        <f>G354*AP354</f>
        <v>0</v>
      </c>
      <c r="AY354" s="29" t="s">
        <v>1084</v>
      </c>
      <c r="AZ354" s="29" t="s">
        <v>1114</v>
      </c>
      <c r="BA354" s="26" t="s">
        <v>1129</v>
      </c>
      <c r="BC354" s="11">
        <f>AW354+AX354</f>
        <v>0</v>
      </c>
      <c r="BD354" s="11">
        <f>H354/(100-BE354)*100</f>
        <v>0</v>
      </c>
      <c r="BE354" s="11">
        <v>0</v>
      </c>
      <c r="BF354" s="11">
        <f>L354</f>
        <v>18.638100000000001</v>
      </c>
      <c r="BH354" s="21">
        <f>G354*AO354</f>
        <v>0</v>
      </c>
      <c r="BI354" s="21">
        <f>G354*AP354</f>
        <v>0</v>
      </c>
      <c r="BJ354" s="21">
        <f>G354*H354</f>
        <v>0</v>
      </c>
      <c r="BK354" s="21" t="s">
        <v>1165</v>
      </c>
      <c r="BL354" s="11">
        <v>771</v>
      </c>
    </row>
    <row r="355" spans="1:64" x14ac:dyDescent="0.2">
      <c r="A355" s="35"/>
      <c r="B355" s="36"/>
      <c r="C355" s="81" t="s">
        <v>746</v>
      </c>
      <c r="D355" s="36"/>
      <c r="E355" s="82" t="s">
        <v>940</v>
      </c>
      <c r="F355" s="36"/>
      <c r="G355" s="83">
        <v>5.2650000000000002E-2</v>
      </c>
      <c r="H355" s="36"/>
      <c r="I355" s="36"/>
      <c r="J355" s="36"/>
      <c r="K355" s="36"/>
      <c r="L355" s="36"/>
      <c r="M355" s="35"/>
      <c r="N355" s="32"/>
    </row>
    <row r="356" spans="1:64" x14ac:dyDescent="0.2">
      <c r="A356" s="84" t="s">
        <v>243</v>
      </c>
      <c r="B356" s="84" t="s">
        <v>388</v>
      </c>
      <c r="C356" s="198" t="s">
        <v>597</v>
      </c>
      <c r="D356" s="199"/>
      <c r="E356" s="199"/>
      <c r="F356" s="84" t="s">
        <v>1050</v>
      </c>
      <c r="G356" s="85">
        <v>3.8610000000000002</v>
      </c>
      <c r="H356" s="85">
        <v>0</v>
      </c>
      <c r="I356" s="85">
        <f>G356*AO356</f>
        <v>0</v>
      </c>
      <c r="J356" s="85">
        <f>G356*AP356</f>
        <v>0</v>
      </c>
      <c r="K356" s="85">
        <f>G356*H356</f>
        <v>0</v>
      </c>
      <c r="L356" s="85">
        <f>G356*356</f>
        <v>1374.5160000000001</v>
      </c>
      <c r="M356" s="95" t="s">
        <v>1067</v>
      </c>
      <c r="N356" s="32"/>
      <c r="Z356" s="11">
        <f>IF(AQ356="5",BJ356,0)</f>
        <v>0</v>
      </c>
      <c r="AB356" s="11">
        <f>IF(AQ356="1",BH356,0)</f>
        <v>0</v>
      </c>
      <c r="AC356" s="11">
        <f>IF(AQ356="1",BI356,0)</f>
        <v>0</v>
      </c>
      <c r="AD356" s="11">
        <f>IF(AQ356="7",BH356,0)</f>
        <v>0</v>
      </c>
      <c r="AE356" s="11">
        <f>IF(AQ356="7",BI356,0)</f>
        <v>0</v>
      </c>
      <c r="AF356" s="11">
        <f>IF(AQ356="2",BH356,0)</f>
        <v>0</v>
      </c>
      <c r="AG356" s="11">
        <f>IF(AQ356="2",BI356,0)</f>
        <v>0</v>
      </c>
      <c r="AH356" s="11">
        <f>IF(AQ356="0",BJ356,0)</f>
        <v>0</v>
      </c>
      <c r="AI356" s="26" t="s">
        <v>77</v>
      </c>
      <c r="AJ356" s="21">
        <f>IF(AN356=0,K356,0)</f>
        <v>0</v>
      </c>
      <c r="AK356" s="21">
        <f>IF(AN356=15,K356,0)</f>
        <v>0</v>
      </c>
      <c r="AL356" s="21">
        <f>IF(AN356=21,K356,0)</f>
        <v>0</v>
      </c>
      <c r="AN356" s="11">
        <v>21</v>
      </c>
      <c r="AO356" s="11">
        <f>H356*1</f>
        <v>0</v>
      </c>
      <c r="AP356" s="11">
        <f>H356*(1-1)</f>
        <v>0</v>
      </c>
      <c r="AQ356" s="28" t="s">
        <v>144</v>
      </c>
      <c r="AV356" s="11">
        <f>AW356+AX356</f>
        <v>0</v>
      </c>
      <c r="AW356" s="11">
        <f>G356*AO356</f>
        <v>0</v>
      </c>
      <c r="AX356" s="11">
        <f>G356*AP356</f>
        <v>0</v>
      </c>
      <c r="AY356" s="29" t="s">
        <v>1084</v>
      </c>
      <c r="AZ356" s="29" t="s">
        <v>1114</v>
      </c>
      <c r="BA356" s="26" t="s">
        <v>1129</v>
      </c>
      <c r="BC356" s="11">
        <f>AW356+AX356</f>
        <v>0</v>
      </c>
      <c r="BD356" s="11">
        <f>H356/(100-BE356)*100</f>
        <v>0</v>
      </c>
      <c r="BE356" s="11">
        <v>0</v>
      </c>
      <c r="BF356" s="11">
        <f>L356</f>
        <v>1374.5160000000001</v>
      </c>
      <c r="BH356" s="21">
        <f>G356*AO356</f>
        <v>0</v>
      </c>
      <c r="BI356" s="21">
        <f>G356*AP356</f>
        <v>0</v>
      </c>
      <c r="BJ356" s="21">
        <f>G356*H356</f>
        <v>0</v>
      </c>
      <c r="BK356" s="21" t="s">
        <v>1165</v>
      </c>
      <c r="BL356" s="11">
        <v>771</v>
      </c>
    </row>
    <row r="357" spans="1:64" x14ac:dyDescent="0.2">
      <c r="A357" s="35"/>
      <c r="B357" s="36"/>
      <c r="C357" s="81" t="s">
        <v>743</v>
      </c>
      <c r="D357" s="36"/>
      <c r="E357" s="82"/>
      <c r="F357" s="36"/>
      <c r="G357" s="83">
        <v>3.51</v>
      </c>
      <c r="H357" s="36"/>
      <c r="I357" s="36"/>
      <c r="J357" s="36"/>
      <c r="K357" s="36"/>
      <c r="L357" s="36"/>
      <c r="M357" s="35"/>
      <c r="N357" s="32"/>
    </row>
    <row r="358" spans="1:64" x14ac:dyDescent="0.2">
      <c r="A358" s="35"/>
      <c r="B358" s="36"/>
      <c r="C358" s="81" t="s">
        <v>747</v>
      </c>
      <c r="D358" s="36"/>
      <c r="E358" s="82"/>
      <c r="F358" s="36"/>
      <c r="G358" s="83">
        <v>0.35099999999999998</v>
      </c>
      <c r="H358" s="36"/>
      <c r="I358" s="36"/>
      <c r="J358" s="36"/>
      <c r="K358" s="36"/>
      <c r="L358" s="36"/>
      <c r="M358" s="35"/>
      <c r="N358" s="32"/>
    </row>
    <row r="359" spans="1:64" x14ac:dyDescent="0.2">
      <c r="A359" s="84" t="s">
        <v>244</v>
      </c>
      <c r="B359" s="84" t="s">
        <v>388</v>
      </c>
      <c r="C359" s="198" t="s">
        <v>597</v>
      </c>
      <c r="D359" s="199"/>
      <c r="E359" s="199"/>
      <c r="F359" s="84" t="s">
        <v>1050</v>
      </c>
      <c r="G359" s="85">
        <v>0.64847999999999995</v>
      </c>
      <c r="H359" s="85">
        <v>0</v>
      </c>
      <c r="I359" s="85">
        <f>G359*AO359</f>
        <v>0</v>
      </c>
      <c r="J359" s="85">
        <f>G359*AP359</f>
        <v>0</v>
      </c>
      <c r="K359" s="85">
        <f>G359*H359</f>
        <v>0</v>
      </c>
      <c r="L359" s="85">
        <f>G359*359</f>
        <v>232.80431999999999</v>
      </c>
      <c r="M359" s="95" t="s">
        <v>1067</v>
      </c>
      <c r="N359" s="32"/>
      <c r="Z359" s="11">
        <f>IF(AQ359="5",BJ359,0)</f>
        <v>0</v>
      </c>
      <c r="AB359" s="11">
        <f>IF(AQ359="1",BH359,0)</f>
        <v>0</v>
      </c>
      <c r="AC359" s="11">
        <f>IF(AQ359="1",BI359,0)</f>
        <v>0</v>
      </c>
      <c r="AD359" s="11">
        <f>IF(AQ359="7",BH359,0)</f>
        <v>0</v>
      </c>
      <c r="AE359" s="11">
        <f>IF(AQ359="7",BI359,0)</f>
        <v>0</v>
      </c>
      <c r="AF359" s="11">
        <f>IF(AQ359="2",BH359,0)</f>
        <v>0</v>
      </c>
      <c r="AG359" s="11">
        <f>IF(AQ359="2",BI359,0)</f>
        <v>0</v>
      </c>
      <c r="AH359" s="11">
        <f>IF(AQ359="0",BJ359,0)</f>
        <v>0</v>
      </c>
      <c r="AI359" s="26" t="s">
        <v>77</v>
      </c>
      <c r="AJ359" s="21">
        <f>IF(AN359=0,K359,0)</f>
        <v>0</v>
      </c>
      <c r="AK359" s="21">
        <f>IF(AN359=15,K359,0)</f>
        <v>0</v>
      </c>
      <c r="AL359" s="21">
        <f>IF(AN359=21,K359,0)</f>
        <v>0</v>
      </c>
      <c r="AN359" s="11">
        <v>21</v>
      </c>
      <c r="AO359" s="11">
        <f>H359*1</f>
        <v>0</v>
      </c>
      <c r="AP359" s="11">
        <f>H359*(1-1)</f>
        <v>0</v>
      </c>
      <c r="AQ359" s="28" t="s">
        <v>144</v>
      </c>
      <c r="AV359" s="11">
        <f>AW359+AX359</f>
        <v>0</v>
      </c>
      <c r="AW359" s="11">
        <f>G359*AO359</f>
        <v>0</v>
      </c>
      <c r="AX359" s="11">
        <f>G359*AP359</f>
        <v>0</v>
      </c>
      <c r="AY359" s="29" t="s">
        <v>1084</v>
      </c>
      <c r="AZ359" s="29" t="s">
        <v>1114</v>
      </c>
      <c r="BA359" s="26" t="s">
        <v>1129</v>
      </c>
      <c r="BC359" s="11">
        <f>AW359+AX359</f>
        <v>0</v>
      </c>
      <c r="BD359" s="11">
        <f>H359/(100-BE359)*100</f>
        <v>0</v>
      </c>
      <c r="BE359" s="11">
        <v>0</v>
      </c>
      <c r="BF359" s="11">
        <f>L359</f>
        <v>232.80431999999999</v>
      </c>
      <c r="BH359" s="21">
        <f>G359*AO359</f>
        <v>0</v>
      </c>
      <c r="BI359" s="21">
        <f>G359*AP359</f>
        <v>0</v>
      </c>
      <c r="BJ359" s="21">
        <f>G359*H359</f>
        <v>0</v>
      </c>
      <c r="BK359" s="21" t="s">
        <v>1165</v>
      </c>
      <c r="BL359" s="11">
        <v>771</v>
      </c>
    </row>
    <row r="360" spans="1:64" x14ac:dyDescent="0.2">
      <c r="A360" s="35"/>
      <c r="B360" s="36"/>
      <c r="C360" s="81" t="s">
        <v>748</v>
      </c>
      <c r="D360" s="36"/>
      <c r="E360" s="82" t="s">
        <v>943</v>
      </c>
      <c r="F360" s="36"/>
      <c r="G360" s="83">
        <v>0.60606000000000004</v>
      </c>
      <c r="H360" s="36"/>
      <c r="I360" s="36"/>
      <c r="J360" s="36"/>
      <c r="K360" s="36"/>
      <c r="L360" s="36"/>
      <c r="M360" s="35"/>
      <c r="N360" s="32"/>
    </row>
    <row r="361" spans="1:64" x14ac:dyDescent="0.2">
      <c r="A361" s="35"/>
      <c r="B361" s="36"/>
      <c r="C361" s="81" t="s">
        <v>749</v>
      </c>
      <c r="D361" s="36"/>
      <c r="E361" s="82"/>
      <c r="F361" s="36"/>
      <c r="G361" s="83">
        <v>4.2419999999999999E-2</v>
      </c>
      <c r="H361" s="36"/>
      <c r="I361" s="36"/>
      <c r="J361" s="36"/>
      <c r="K361" s="36"/>
      <c r="L361" s="36"/>
      <c r="M361" s="35"/>
      <c r="N361" s="32"/>
    </row>
    <row r="362" spans="1:64" x14ac:dyDescent="0.2">
      <c r="A362" s="84" t="s">
        <v>245</v>
      </c>
      <c r="B362" s="84" t="s">
        <v>386</v>
      </c>
      <c r="C362" s="198" t="s">
        <v>614</v>
      </c>
      <c r="D362" s="199"/>
      <c r="E362" s="199"/>
      <c r="F362" s="84" t="s">
        <v>1054</v>
      </c>
      <c r="G362" s="85">
        <v>59.67</v>
      </c>
      <c r="H362" s="85">
        <v>0</v>
      </c>
      <c r="I362" s="85">
        <f>G362*AO362</f>
        <v>0</v>
      </c>
      <c r="J362" s="85">
        <f>G362*AP362</f>
        <v>0</v>
      </c>
      <c r="K362" s="85">
        <f>G362*H362</f>
        <v>0</v>
      </c>
      <c r="L362" s="85">
        <f>G362*362</f>
        <v>21600.54</v>
      </c>
      <c r="M362" s="95" t="s">
        <v>1067</v>
      </c>
      <c r="N362" s="32"/>
      <c r="Z362" s="11">
        <f>IF(AQ362="5",BJ362,0)</f>
        <v>0</v>
      </c>
      <c r="AB362" s="11">
        <f>IF(AQ362="1",BH362,0)</f>
        <v>0</v>
      </c>
      <c r="AC362" s="11">
        <f>IF(AQ362="1",BI362,0)</f>
        <v>0</v>
      </c>
      <c r="AD362" s="11">
        <f>IF(AQ362="7",BH362,0)</f>
        <v>0</v>
      </c>
      <c r="AE362" s="11">
        <f>IF(AQ362="7",BI362,0)</f>
        <v>0</v>
      </c>
      <c r="AF362" s="11">
        <f>IF(AQ362="2",BH362,0)</f>
        <v>0</v>
      </c>
      <c r="AG362" s="11">
        <f>IF(AQ362="2",BI362,0)</f>
        <v>0</v>
      </c>
      <c r="AH362" s="11">
        <f>IF(AQ362="0",BJ362,0)</f>
        <v>0</v>
      </c>
      <c r="AI362" s="26" t="s">
        <v>77</v>
      </c>
      <c r="AJ362" s="21">
        <f>IF(AN362=0,K362,0)</f>
        <v>0</v>
      </c>
      <c r="AK362" s="21">
        <f>IF(AN362=15,K362,0)</f>
        <v>0</v>
      </c>
      <c r="AL362" s="21">
        <f>IF(AN362=21,K362,0)</f>
        <v>0</v>
      </c>
      <c r="AN362" s="11">
        <v>21</v>
      </c>
      <c r="AO362" s="11">
        <f>H362*1</f>
        <v>0</v>
      </c>
      <c r="AP362" s="11">
        <f>H362*(1-1)</f>
        <v>0</v>
      </c>
      <c r="AQ362" s="28" t="s">
        <v>144</v>
      </c>
      <c r="AV362" s="11">
        <f>AW362+AX362</f>
        <v>0</v>
      </c>
      <c r="AW362" s="11">
        <f>G362*AO362</f>
        <v>0</v>
      </c>
      <c r="AX362" s="11">
        <f>G362*AP362</f>
        <v>0</v>
      </c>
      <c r="AY362" s="29" t="s">
        <v>1084</v>
      </c>
      <c r="AZ362" s="29" t="s">
        <v>1114</v>
      </c>
      <c r="BA362" s="26" t="s">
        <v>1129</v>
      </c>
      <c r="BC362" s="11">
        <f>AW362+AX362</f>
        <v>0</v>
      </c>
      <c r="BD362" s="11">
        <f>H362/(100-BE362)*100</f>
        <v>0</v>
      </c>
      <c r="BE362" s="11">
        <v>0</v>
      </c>
      <c r="BF362" s="11">
        <f>L362</f>
        <v>21600.54</v>
      </c>
      <c r="BH362" s="21">
        <f>G362*AO362</f>
        <v>0</v>
      </c>
      <c r="BI362" s="21">
        <f>G362*AP362</f>
        <v>0</v>
      </c>
      <c r="BJ362" s="21">
        <f>G362*H362</f>
        <v>0</v>
      </c>
      <c r="BK362" s="21" t="s">
        <v>1165</v>
      </c>
      <c r="BL362" s="11">
        <v>771</v>
      </c>
    </row>
    <row r="363" spans="1:64" x14ac:dyDescent="0.2">
      <c r="A363" s="35"/>
      <c r="B363" s="36"/>
      <c r="C363" s="81" t="s">
        <v>750</v>
      </c>
      <c r="D363" s="36"/>
      <c r="E363" s="82" t="s">
        <v>945</v>
      </c>
      <c r="F363" s="36"/>
      <c r="G363" s="83">
        <v>59.67</v>
      </c>
      <c r="H363" s="36"/>
      <c r="I363" s="36"/>
      <c r="J363" s="36"/>
      <c r="K363" s="36"/>
      <c r="L363" s="36"/>
      <c r="M363" s="35"/>
      <c r="N363" s="32"/>
    </row>
    <row r="364" spans="1:64" x14ac:dyDescent="0.2">
      <c r="A364" s="77"/>
      <c r="B364" s="76" t="s">
        <v>92</v>
      </c>
      <c r="C364" s="204" t="s">
        <v>118</v>
      </c>
      <c r="D364" s="205"/>
      <c r="E364" s="205"/>
      <c r="F364" s="77" t="s">
        <v>60</v>
      </c>
      <c r="G364" s="77" t="s">
        <v>60</v>
      </c>
      <c r="H364" s="77" t="s">
        <v>60</v>
      </c>
      <c r="I364" s="78">
        <f>SUM(I365:I394)</f>
        <v>0</v>
      </c>
      <c r="J364" s="78">
        <f>SUM(J365:J394)</f>
        <v>0</v>
      </c>
      <c r="K364" s="78">
        <f>SUM(K365:K394)</f>
        <v>0</v>
      </c>
      <c r="L364" s="78">
        <f>SUM(L365:L394)</f>
        <v>770351.52946999995</v>
      </c>
      <c r="M364" s="93"/>
      <c r="N364" s="32"/>
      <c r="AI364" s="26" t="s">
        <v>77</v>
      </c>
      <c r="AS364" s="31">
        <f>SUM(AJ365:AJ394)</f>
        <v>0</v>
      </c>
      <c r="AT364" s="31">
        <f>SUM(AK365:AK394)</f>
        <v>0</v>
      </c>
      <c r="AU364" s="31">
        <f>SUM(AL365:AL394)</f>
        <v>0</v>
      </c>
    </row>
    <row r="365" spans="1:64" x14ac:dyDescent="0.2">
      <c r="A365" s="79" t="s">
        <v>246</v>
      </c>
      <c r="B365" s="79" t="s">
        <v>396</v>
      </c>
      <c r="C365" s="194" t="s">
        <v>617</v>
      </c>
      <c r="D365" s="195"/>
      <c r="E365" s="195"/>
      <c r="F365" s="79" t="s">
        <v>1050</v>
      </c>
      <c r="G365" s="80">
        <v>117.17</v>
      </c>
      <c r="H365" s="80">
        <v>0</v>
      </c>
      <c r="I365" s="80">
        <f>G365*AO365</f>
        <v>0</v>
      </c>
      <c r="J365" s="80">
        <f>G365*AP365</f>
        <v>0</v>
      </c>
      <c r="K365" s="80">
        <f>G365*H365</f>
        <v>0</v>
      </c>
      <c r="L365" s="80">
        <f>G365*365</f>
        <v>42767.05</v>
      </c>
      <c r="M365" s="94" t="s">
        <v>1066</v>
      </c>
      <c r="N365" s="32"/>
      <c r="Z365" s="11">
        <f>IF(AQ365="5",BJ365,0)</f>
        <v>0</v>
      </c>
      <c r="AB365" s="11">
        <f>IF(AQ365="1",BH365,0)</f>
        <v>0</v>
      </c>
      <c r="AC365" s="11">
        <f>IF(AQ365="1",BI365,0)</f>
        <v>0</v>
      </c>
      <c r="AD365" s="11">
        <f>IF(AQ365="7",BH365,0)</f>
        <v>0</v>
      </c>
      <c r="AE365" s="11">
        <f>IF(AQ365="7",BI365,0)</f>
        <v>0</v>
      </c>
      <c r="AF365" s="11">
        <f>IF(AQ365="2",BH365,0)</f>
        <v>0</v>
      </c>
      <c r="AG365" s="11">
        <f>IF(AQ365="2",BI365,0)</f>
        <v>0</v>
      </c>
      <c r="AH365" s="11">
        <f>IF(AQ365="0",BJ365,0)</f>
        <v>0</v>
      </c>
      <c r="AI365" s="26" t="s">
        <v>77</v>
      </c>
      <c r="AJ365" s="20">
        <f>IF(AN365=0,K365,0)</f>
        <v>0</v>
      </c>
      <c r="AK365" s="20">
        <f>IF(AN365=15,K365,0)</f>
        <v>0</v>
      </c>
      <c r="AL365" s="20">
        <f>IF(AN365=21,K365,0)</f>
        <v>0</v>
      </c>
      <c r="AN365" s="11">
        <v>21</v>
      </c>
      <c r="AO365" s="11">
        <f>H365*0</f>
        <v>0</v>
      </c>
      <c r="AP365" s="11">
        <f>H365*(1-0)</f>
        <v>0</v>
      </c>
      <c r="AQ365" s="27" t="s">
        <v>144</v>
      </c>
      <c r="AV365" s="11">
        <f>AW365+AX365</f>
        <v>0</v>
      </c>
      <c r="AW365" s="11">
        <f>G365*AO365</f>
        <v>0</v>
      </c>
      <c r="AX365" s="11">
        <f>G365*AP365</f>
        <v>0</v>
      </c>
      <c r="AY365" s="29" t="s">
        <v>1085</v>
      </c>
      <c r="AZ365" s="29" t="s">
        <v>1114</v>
      </c>
      <c r="BA365" s="26" t="s">
        <v>1129</v>
      </c>
      <c r="BB365" s="26" t="s">
        <v>1142</v>
      </c>
      <c r="BC365" s="11">
        <f>AW365+AX365</f>
        <v>0</v>
      </c>
      <c r="BD365" s="11">
        <f>H365/(100-BE365)*100</f>
        <v>0</v>
      </c>
      <c r="BE365" s="11">
        <v>0</v>
      </c>
      <c r="BF365" s="11">
        <f>L365</f>
        <v>42767.05</v>
      </c>
      <c r="BH365" s="20">
        <f>G365*AO365</f>
        <v>0</v>
      </c>
      <c r="BI365" s="20">
        <f>G365*AP365</f>
        <v>0</v>
      </c>
      <c r="BJ365" s="20">
        <f>G365*H365</f>
        <v>0</v>
      </c>
      <c r="BK365" s="20" t="s">
        <v>1164</v>
      </c>
      <c r="BL365" s="11">
        <v>776</v>
      </c>
    </row>
    <row r="366" spans="1:64" x14ac:dyDescent="0.2">
      <c r="A366" s="35"/>
      <c r="B366" s="36"/>
      <c r="C366" s="81" t="s">
        <v>751</v>
      </c>
      <c r="D366" s="36"/>
      <c r="E366" s="82" t="s">
        <v>1000</v>
      </c>
      <c r="F366" s="36"/>
      <c r="G366" s="83">
        <v>117.17</v>
      </c>
      <c r="H366" s="36"/>
      <c r="I366" s="36"/>
      <c r="J366" s="36"/>
      <c r="K366" s="36"/>
      <c r="L366" s="36"/>
      <c r="M366" s="35"/>
      <c r="N366" s="32"/>
    </row>
    <row r="367" spans="1:64" x14ac:dyDescent="0.2">
      <c r="A367" s="79" t="s">
        <v>247</v>
      </c>
      <c r="B367" s="79" t="s">
        <v>397</v>
      </c>
      <c r="C367" s="194" t="s">
        <v>619</v>
      </c>
      <c r="D367" s="195"/>
      <c r="E367" s="195"/>
      <c r="F367" s="79" t="s">
        <v>1050</v>
      </c>
      <c r="G367" s="80">
        <v>118.67</v>
      </c>
      <c r="H367" s="80">
        <v>0</v>
      </c>
      <c r="I367" s="80">
        <f>G367*AO367</f>
        <v>0</v>
      </c>
      <c r="J367" s="80">
        <f>G367*AP367</f>
        <v>0</v>
      </c>
      <c r="K367" s="80">
        <f>G367*H367</f>
        <v>0</v>
      </c>
      <c r="L367" s="80">
        <f>G367*367</f>
        <v>43551.89</v>
      </c>
      <c r="M367" s="94" t="s">
        <v>1066</v>
      </c>
      <c r="N367" s="32"/>
      <c r="Z367" s="11">
        <f>IF(AQ367="5",BJ367,0)</f>
        <v>0</v>
      </c>
      <c r="AB367" s="11">
        <f>IF(AQ367="1",BH367,0)</f>
        <v>0</v>
      </c>
      <c r="AC367" s="11">
        <f>IF(AQ367="1",BI367,0)</f>
        <v>0</v>
      </c>
      <c r="AD367" s="11">
        <f>IF(AQ367="7",BH367,0)</f>
        <v>0</v>
      </c>
      <c r="AE367" s="11">
        <f>IF(AQ367="7",BI367,0)</f>
        <v>0</v>
      </c>
      <c r="AF367" s="11">
        <f>IF(AQ367="2",BH367,0)</f>
        <v>0</v>
      </c>
      <c r="AG367" s="11">
        <f>IF(AQ367="2",BI367,0)</f>
        <v>0</v>
      </c>
      <c r="AH367" s="11">
        <f>IF(AQ367="0",BJ367,0)</f>
        <v>0</v>
      </c>
      <c r="AI367" s="26" t="s">
        <v>77</v>
      </c>
      <c r="AJ367" s="20">
        <f>IF(AN367=0,K367,0)</f>
        <v>0</v>
      </c>
      <c r="AK367" s="20">
        <f>IF(AN367=15,K367,0)</f>
        <v>0</v>
      </c>
      <c r="AL367" s="20">
        <f>IF(AN367=21,K367,0)</f>
        <v>0</v>
      </c>
      <c r="AN367" s="11">
        <v>21</v>
      </c>
      <c r="AO367" s="11">
        <f>H367*0</f>
        <v>0</v>
      </c>
      <c r="AP367" s="11">
        <f>H367*(1-0)</f>
        <v>0</v>
      </c>
      <c r="AQ367" s="27" t="s">
        <v>144</v>
      </c>
      <c r="AV367" s="11">
        <f>AW367+AX367</f>
        <v>0</v>
      </c>
      <c r="AW367" s="11">
        <f>G367*AO367</f>
        <v>0</v>
      </c>
      <c r="AX367" s="11">
        <f>G367*AP367</f>
        <v>0</v>
      </c>
      <c r="AY367" s="29" t="s">
        <v>1085</v>
      </c>
      <c r="AZ367" s="29" t="s">
        <v>1114</v>
      </c>
      <c r="BA367" s="26" t="s">
        <v>1129</v>
      </c>
      <c r="BB367" s="26" t="s">
        <v>1142</v>
      </c>
      <c r="BC367" s="11">
        <f>AW367+AX367</f>
        <v>0</v>
      </c>
      <c r="BD367" s="11">
        <f>H367/(100-BE367)*100</f>
        <v>0</v>
      </c>
      <c r="BE367" s="11">
        <v>0</v>
      </c>
      <c r="BF367" s="11">
        <f>L367</f>
        <v>43551.89</v>
      </c>
      <c r="BH367" s="20">
        <f>G367*AO367</f>
        <v>0</v>
      </c>
      <c r="BI367" s="20">
        <f>G367*AP367</f>
        <v>0</v>
      </c>
      <c r="BJ367" s="20">
        <f>G367*H367</f>
        <v>0</v>
      </c>
      <c r="BK367" s="20" t="s">
        <v>1164</v>
      </c>
      <c r="BL367" s="11">
        <v>776</v>
      </c>
    </row>
    <row r="368" spans="1:64" x14ac:dyDescent="0.2">
      <c r="A368" s="35"/>
      <c r="B368" s="36"/>
      <c r="C368" s="81" t="s">
        <v>752</v>
      </c>
      <c r="D368" s="36"/>
      <c r="E368" s="82"/>
      <c r="F368" s="36"/>
      <c r="G368" s="83">
        <v>118.67</v>
      </c>
      <c r="H368" s="36"/>
      <c r="I368" s="36"/>
      <c r="J368" s="36"/>
      <c r="K368" s="36"/>
      <c r="L368" s="36"/>
      <c r="M368" s="35"/>
      <c r="N368" s="32"/>
    </row>
    <row r="369" spans="1:64" x14ac:dyDescent="0.2">
      <c r="A369" s="79" t="s">
        <v>248</v>
      </c>
      <c r="B369" s="79" t="s">
        <v>398</v>
      </c>
      <c r="C369" s="194" t="s">
        <v>621</v>
      </c>
      <c r="D369" s="195"/>
      <c r="E369" s="195"/>
      <c r="F369" s="79" t="s">
        <v>1050</v>
      </c>
      <c r="G369" s="80">
        <v>118.67</v>
      </c>
      <c r="H369" s="80">
        <v>0</v>
      </c>
      <c r="I369" s="80">
        <f>G369*AO369</f>
        <v>0</v>
      </c>
      <c r="J369" s="80">
        <f>G369*AP369</f>
        <v>0</v>
      </c>
      <c r="K369" s="80">
        <f>G369*H369</f>
        <v>0</v>
      </c>
      <c r="L369" s="80">
        <f>G369*369</f>
        <v>43789.23</v>
      </c>
      <c r="M369" s="94" t="s">
        <v>1066</v>
      </c>
      <c r="N369" s="32"/>
      <c r="Z369" s="11">
        <f>IF(AQ369="5",BJ369,0)</f>
        <v>0</v>
      </c>
      <c r="AB369" s="11">
        <f>IF(AQ369="1",BH369,0)</f>
        <v>0</v>
      </c>
      <c r="AC369" s="11">
        <f>IF(AQ369="1",BI369,0)</f>
        <v>0</v>
      </c>
      <c r="AD369" s="11">
        <f>IF(AQ369="7",BH369,0)</f>
        <v>0</v>
      </c>
      <c r="AE369" s="11">
        <f>IF(AQ369="7",BI369,0)</f>
        <v>0</v>
      </c>
      <c r="AF369" s="11">
        <f>IF(AQ369="2",BH369,0)</f>
        <v>0</v>
      </c>
      <c r="AG369" s="11">
        <f>IF(AQ369="2",BI369,0)</f>
        <v>0</v>
      </c>
      <c r="AH369" s="11">
        <f>IF(AQ369="0",BJ369,0)</f>
        <v>0</v>
      </c>
      <c r="AI369" s="26" t="s">
        <v>77</v>
      </c>
      <c r="AJ369" s="20">
        <f>IF(AN369=0,K369,0)</f>
        <v>0</v>
      </c>
      <c r="AK369" s="20">
        <f>IF(AN369=15,K369,0)</f>
        <v>0</v>
      </c>
      <c r="AL369" s="20">
        <f>IF(AN369=21,K369,0)</f>
        <v>0</v>
      </c>
      <c r="AN369" s="11">
        <v>21</v>
      </c>
      <c r="AO369" s="11">
        <f>H369*0</f>
        <v>0</v>
      </c>
      <c r="AP369" s="11">
        <f>H369*(1-0)</f>
        <v>0</v>
      </c>
      <c r="AQ369" s="27" t="s">
        <v>144</v>
      </c>
      <c r="AV369" s="11">
        <f>AW369+AX369</f>
        <v>0</v>
      </c>
      <c r="AW369" s="11">
        <f>G369*AO369</f>
        <v>0</v>
      </c>
      <c r="AX369" s="11">
        <f>G369*AP369</f>
        <v>0</v>
      </c>
      <c r="AY369" s="29" t="s">
        <v>1085</v>
      </c>
      <c r="AZ369" s="29" t="s">
        <v>1114</v>
      </c>
      <c r="BA369" s="26" t="s">
        <v>1129</v>
      </c>
      <c r="BB369" s="26" t="s">
        <v>1142</v>
      </c>
      <c r="BC369" s="11">
        <f>AW369+AX369</f>
        <v>0</v>
      </c>
      <c r="BD369" s="11">
        <f>H369/(100-BE369)*100</f>
        <v>0</v>
      </c>
      <c r="BE369" s="11">
        <v>0</v>
      </c>
      <c r="BF369" s="11">
        <f>L369</f>
        <v>43789.23</v>
      </c>
      <c r="BH369" s="20">
        <f>G369*AO369</f>
        <v>0</v>
      </c>
      <c r="BI369" s="20">
        <f>G369*AP369</f>
        <v>0</v>
      </c>
      <c r="BJ369" s="20">
        <f>G369*H369</f>
        <v>0</v>
      </c>
      <c r="BK369" s="20" t="s">
        <v>1164</v>
      </c>
      <c r="BL369" s="11">
        <v>776</v>
      </c>
    </row>
    <row r="370" spans="1:64" x14ac:dyDescent="0.2">
      <c r="A370" s="35"/>
      <c r="B370" s="36"/>
      <c r="C370" s="81" t="s">
        <v>753</v>
      </c>
      <c r="D370" s="36"/>
      <c r="E370" s="82"/>
      <c r="F370" s="36"/>
      <c r="G370" s="83">
        <v>118.67</v>
      </c>
      <c r="H370" s="36"/>
      <c r="I370" s="36"/>
      <c r="J370" s="36"/>
      <c r="K370" s="36"/>
      <c r="L370" s="36"/>
      <c r="M370" s="35"/>
      <c r="N370" s="32"/>
    </row>
    <row r="371" spans="1:64" x14ac:dyDescent="0.2">
      <c r="A371" s="84" t="s">
        <v>249</v>
      </c>
      <c r="B371" s="84" t="s">
        <v>386</v>
      </c>
      <c r="C371" s="198" t="s">
        <v>754</v>
      </c>
      <c r="D371" s="199"/>
      <c r="E371" s="199"/>
      <c r="F371" s="84" t="s">
        <v>1053</v>
      </c>
      <c r="G371" s="85">
        <v>1.7800499999999999</v>
      </c>
      <c r="H371" s="85">
        <v>0</v>
      </c>
      <c r="I371" s="85">
        <f>G371*AO371</f>
        <v>0</v>
      </c>
      <c r="J371" s="85">
        <f>G371*AP371</f>
        <v>0</v>
      </c>
      <c r="K371" s="85">
        <f>G371*H371</f>
        <v>0</v>
      </c>
      <c r="L371" s="85">
        <f>G371*371</f>
        <v>660.39855</v>
      </c>
      <c r="M371" s="95" t="s">
        <v>1067</v>
      </c>
      <c r="N371" s="32"/>
      <c r="Z371" s="11">
        <f>IF(AQ371="5",BJ371,0)</f>
        <v>0</v>
      </c>
      <c r="AB371" s="11">
        <f>IF(AQ371="1",BH371,0)</f>
        <v>0</v>
      </c>
      <c r="AC371" s="11">
        <f>IF(AQ371="1",BI371,0)</f>
        <v>0</v>
      </c>
      <c r="AD371" s="11">
        <f>IF(AQ371="7",BH371,0)</f>
        <v>0</v>
      </c>
      <c r="AE371" s="11">
        <f>IF(AQ371="7",BI371,0)</f>
        <v>0</v>
      </c>
      <c r="AF371" s="11">
        <f>IF(AQ371="2",BH371,0)</f>
        <v>0</v>
      </c>
      <c r="AG371" s="11">
        <f>IF(AQ371="2",BI371,0)</f>
        <v>0</v>
      </c>
      <c r="AH371" s="11">
        <f>IF(AQ371="0",BJ371,0)</f>
        <v>0</v>
      </c>
      <c r="AI371" s="26" t="s">
        <v>77</v>
      </c>
      <c r="AJ371" s="21">
        <f>IF(AN371=0,K371,0)</f>
        <v>0</v>
      </c>
      <c r="AK371" s="21">
        <f>IF(AN371=15,K371,0)</f>
        <v>0</v>
      </c>
      <c r="AL371" s="21">
        <f>IF(AN371=21,K371,0)</f>
        <v>0</v>
      </c>
      <c r="AN371" s="11">
        <v>21</v>
      </c>
      <c r="AO371" s="11">
        <f>H371*1</f>
        <v>0</v>
      </c>
      <c r="AP371" s="11">
        <f>H371*(1-1)</f>
        <v>0</v>
      </c>
      <c r="AQ371" s="28" t="s">
        <v>144</v>
      </c>
      <c r="AV371" s="11">
        <f>AW371+AX371</f>
        <v>0</v>
      </c>
      <c r="AW371" s="11">
        <f>G371*AO371</f>
        <v>0</v>
      </c>
      <c r="AX371" s="11">
        <f>G371*AP371</f>
        <v>0</v>
      </c>
      <c r="AY371" s="29" t="s">
        <v>1085</v>
      </c>
      <c r="AZ371" s="29" t="s">
        <v>1114</v>
      </c>
      <c r="BA371" s="26" t="s">
        <v>1129</v>
      </c>
      <c r="BC371" s="11">
        <f>AW371+AX371</f>
        <v>0</v>
      </c>
      <c r="BD371" s="11">
        <f>H371/(100-BE371)*100</f>
        <v>0</v>
      </c>
      <c r="BE371" s="11">
        <v>0</v>
      </c>
      <c r="BF371" s="11">
        <f>L371</f>
        <v>660.39855</v>
      </c>
      <c r="BH371" s="21">
        <f>G371*AO371</f>
        <v>0</v>
      </c>
      <c r="BI371" s="21">
        <f>G371*AP371</f>
        <v>0</v>
      </c>
      <c r="BJ371" s="21">
        <f>G371*H371</f>
        <v>0</v>
      </c>
      <c r="BK371" s="21" t="s">
        <v>1165</v>
      </c>
      <c r="BL371" s="11">
        <v>776</v>
      </c>
    </row>
    <row r="372" spans="1:64" x14ac:dyDescent="0.2">
      <c r="A372" s="35"/>
      <c r="B372" s="36"/>
      <c r="C372" s="81" t="s">
        <v>755</v>
      </c>
      <c r="D372" s="36"/>
      <c r="E372" s="82" t="s">
        <v>940</v>
      </c>
      <c r="F372" s="36"/>
      <c r="G372" s="83">
        <v>1.7800499999999999</v>
      </c>
      <c r="H372" s="36"/>
      <c r="I372" s="36"/>
      <c r="J372" s="36"/>
      <c r="K372" s="36"/>
      <c r="L372" s="36"/>
      <c r="M372" s="35"/>
      <c r="N372" s="32"/>
    </row>
    <row r="373" spans="1:64" x14ac:dyDescent="0.2">
      <c r="A373" s="79" t="s">
        <v>250</v>
      </c>
      <c r="B373" s="79" t="s">
        <v>399</v>
      </c>
      <c r="C373" s="194" t="s">
        <v>625</v>
      </c>
      <c r="D373" s="195"/>
      <c r="E373" s="195"/>
      <c r="F373" s="79" t="s">
        <v>1050</v>
      </c>
      <c r="G373" s="80">
        <v>46.03</v>
      </c>
      <c r="H373" s="80">
        <v>0</v>
      </c>
      <c r="I373" s="80">
        <f>G373*AO373</f>
        <v>0</v>
      </c>
      <c r="J373" s="80">
        <f>G373*AP373</f>
        <v>0</v>
      </c>
      <c r="K373" s="80">
        <f>G373*H373</f>
        <v>0</v>
      </c>
      <c r="L373" s="80">
        <f>G373*373</f>
        <v>17169.189999999999</v>
      </c>
      <c r="M373" s="94" t="s">
        <v>1066</v>
      </c>
      <c r="N373" s="32"/>
      <c r="Z373" s="11">
        <f>IF(AQ373="5",BJ373,0)</f>
        <v>0</v>
      </c>
      <c r="AB373" s="11">
        <f>IF(AQ373="1",BH373,0)</f>
        <v>0</v>
      </c>
      <c r="AC373" s="11">
        <f>IF(AQ373="1",BI373,0)</f>
        <v>0</v>
      </c>
      <c r="AD373" s="11">
        <f>IF(AQ373="7",BH373,0)</f>
        <v>0</v>
      </c>
      <c r="AE373" s="11">
        <f>IF(AQ373="7",BI373,0)</f>
        <v>0</v>
      </c>
      <c r="AF373" s="11">
        <f>IF(AQ373="2",BH373,0)</f>
        <v>0</v>
      </c>
      <c r="AG373" s="11">
        <f>IF(AQ373="2",BI373,0)</f>
        <v>0</v>
      </c>
      <c r="AH373" s="11">
        <f>IF(AQ373="0",BJ373,0)</f>
        <v>0</v>
      </c>
      <c r="AI373" s="26" t="s">
        <v>77</v>
      </c>
      <c r="AJ373" s="20">
        <f>IF(AN373=0,K373,0)</f>
        <v>0</v>
      </c>
      <c r="AK373" s="20">
        <f>IF(AN373=15,K373,0)</f>
        <v>0</v>
      </c>
      <c r="AL373" s="20">
        <f>IF(AN373=21,K373,0)</f>
        <v>0</v>
      </c>
      <c r="AN373" s="11">
        <v>21</v>
      </c>
      <c r="AO373" s="11">
        <f>H373*0.277029315047604</f>
        <v>0</v>
      </c>
      <c r="AP373" s="11">
        <f>H373*(1-0.277029315047604)</f>
        <v>0</v>
      </c>
      <c r="AQ373" s="27" t="s">
        <v>144</v>
      </c>
      <c r="AV373" s="11">
        <f>AW373+AX373</f>
        <v>0</v>
      </c>
      <c r="AW373" s="11">
        <f>G373*AO373</f>
        <v>0</v>
      </c>
      <c r="AX373" s="11">
        <f>G373*AP373</f>
        <v>0</v>
      </c>
      <c r="AY373" s="29" t="s">
        <v>1085</v>
      </c>
      <c r="AZ373" s="29" t="s">
        <v>1114</v>
      </c>
      <c r="BA373" s="26" t="s">
        <v>1129</v>
      </c>
      <c r="BB373" s="26" t="s">
        <v>1142</v>
      </c>
      <c r="BC373" s="11">
        <f>AW373+AX373</f>
        <v>0</v>
      </c>
      <c r="BD373" s="11">
        <f>H373/(100-BE373)*100</f>
        <v>0</v>
      </c>
      <c r="BE373" s="11">
        <v>0</v>
      </c>
      <c r="BF373" s="11">
        <f>L373</f>
        <v>17169.189999999999</v>
      </c>
      <c r="BH373" s="20">
        <f>G373*AO373</f>
        <v>0</v>
      </c>
      <c r="BI373" s="20">
        <f>G373*AP373</f>
        <v>0</v>
      </c>
      <c r="BJ373" s="20">
        <f>G373*H373</f>
        <v>0</v>
      </c>
      <c r="BK373" s="20" t="s">
        <v>1164</v>
      </c>
      <c r="BL373" s="11">
        <v>776</v>
      </c>
    </row>
    <row r="374" spans="1:64" x14ac:dyDescent="0.2">
      <c r="A374" s="35"/>
      <c r="B374" s="86" t="s">
        <v>354</v>
      </c>
      <c r="C374" s="196" t="s">
        <v>626</v>
      </c>
      <c r="D374" s="197"/>
      <c r="E374" s="197"/>
      <c r="F374" s="197"/>
      <c r="G374" s="197"/>
      <c r="H374" s="197"/>
      <c r="I374" s="197"/>
      <c r="J374" s="197"/>
      <c r="K374" s="197"/>
      <c r="L374" s="197"/>
      <c r="M374" s="197"/>
      <c r="N374" s="32"/>
    </row>
    <row r="375" spans="1:64" x14ac:dyDescent="0.2">
      <c r="A375" s="35"/>
      <c r="B375" s="36"/>
      <c r="C375" s="81" t="s">
        <v>756</v>
      </c>
      <c r="D375" s="36"/>
      <c r="E375" s="82"/>
      <c r="F375" s="36"/>
      <c r="G375" s="83">
        <v>46.03</v>
      </c>
      <c r="H375" s="36"/>
      <c r="I375" s="36"/>
      <c r="J375" s="36"/>
      <c r="K375" s="36"/>
      <c r="L375" s="36"/>
      <c r="M375" s="35"/>
      <c r="N375" s="32"/>
    </row>
    <row r="376" spans="1:64" x14ac:dyDescent="0.2">
      <c r="A376" s="84" t="s">
        <v>251</v>
      </c>
      <c r="B376" s="84" t="s">
        <v>400</v>
      </c>
      <c r="C376" s="198" t="s">
        <v>628</v>
      </c>
      <c r="D376" s="199"/>
      <c r="E376" s="199"/>
      <c r="F376" s="84" t="s">
        <v>1050</v>
      </c>
      <c r="G376" s="85">
        <v>46.03</v>
      </c>
      <c r="H376" s="85">
        <v>0</v>
      </c>
      <c r="I376" s="85">
        <f>G376*AO376</f>
        <v>0</v>
      </c>
      <c r="J376" s="85">
        <f>G376*AP376</f>
        <v>0</v>
      </c>
      <c r="K376" s="85">
        <f>G376*H376</f>
        <v>0</v>
      </c>
      <c r="L376" s="85">
        <f>G376*376</f>
        <v>17307.28</v>
      </c>
      <c r="M376" s="95" t="s">
        <v>1067</v>
      </c>
      <c r="N376" s="32"/>
      <c r="Z376" s="11">
        <f>IF(AQ376="5",BJ376,0)</f>
        <v>0</v>
      </c>
      <c r="AB376" s="11">
        <f>IF(AQ376="1",BH376,0)</f>
        <v>0</v>
      </c>
      <c r="AC376" s="11">
        <f>IF(AQ376="1",BI376,0)</f>
        <v>0</v>
      </c>
      <c r="AD376" s="11">
        <f>IF(AQ376="7",BH376,0)</f>
        <v>0</v>
      </c>
      <c r="AE376" s="11">
        <f>IF(AQ376="7",BI376,0)</f>
        <v>0</v>
      </c>
      <c r="AF376" s="11">
        <f>IF(AQ376="2",BH376,0)</f>
        <v>0</v>
      </c>
      <c r="AG376" s="11">
        <f>IF(AQ376="2",BI376,0)</f>
        <v>0</v>
      </c>
      <c r="AH376" s="11">
        <f>IF(AQ376="0",BJ376,0)</f>
        <v>0</v>
      </c>
      <c r="AI376" s="26" t="s">
        <v>77</v>
      </c>
      <c r="AJ376" s="21">
        <f>IF(AN376=0,K376,0)</f>
        <v>0</v>
      </c>
      <c r="AK376" s="21">
        <f>IF(AN376=15,K376,0)</f>
        <v>0</v>
      </c>
      <c r="AL376" s="21">
        <f>IF(AN376=21,K376,0)</f>
        <v>0</v>
      </c>
      <c r="AN376" s="11">
        <v>21</v>
      </c>
      <c r="AO376" s="11">
        <f>H376*1</f>
        <v>0</v>
      </c>
      <c r="AP376" s="11">
        <f>H376*(1-1)</f>
        <v>0</v>
      </c>
      <c r="AQ376" s="28" t="s">
        <v>144</v>
      </c>
      <c r="AV376" s="11">
        <f>AW376+AX376</f>
        <v>0</v>
      </c>
      <c r="AW376" s="11">
        <f>G376*AO376</f>
        <v>0</v>
      </c>
      <c r="AX376" s="11">
        <f>G376*AP376</f>
        <v>0</v>
      </c>
      <c r="AY376" s="29" t="s">
        <v>1085</v>
      </c>
      <c r="AZ376" s="29" t="s">
        <v>1114</v>
      </c>
      <c r="BA376" s="26" t="s">
        <v>1129</v>
      </c>
      <c r="BC376" s="11">
        <f>AW376+AX376</f>
        <v>0</v>
      </c>
      <c r="BD376" s="11">
        <f>H376/(100-BE376)*100</f>
        <v>0</v>
      </c>
      <c r="BE376" s="11">
        <v>0</v>
      </c>
      <c r="BF376" s="11">
        <f>L376</f>
        <v>17307.28</v>
      </c>
      <c r="BH376" s="21">
        <f>G376*AO376</f>
        <v>0</v>
      </c>
      <c r="BI376" s="21">
        <f>G376*AP376</f>
        <v>0</v>
      </c>
      <c r="BJ376" s="21">
        <f>G376*H376</f>
        <v>0</v>
      </c>
      <c r="BK376" s="21" t="s">
        <v>1165</v>
      </c>
      <c r="BL376" s="11">
        <v>776</v>
      </c>
    </row>
    <row r="377" spans="1:64" x14ac:dyDescent="0.2">
      <c r="A377" s="35"/>
      <c r="B377" s="36"/>
      <c r="C377" s="81" t="s">
        <v>757</v>
      </c>
      <c r="D377" s="36"/>
      <c r="E377" s="82"/>
      <c r="F377" s="36"/>
      <c r="G377" s="83">
        <v>46.03</v>
      </c>
      <c r="H377" s="36"/>
      <c r="I377" s="36"/>
      <c r="J377" s="36"/>
      <c r="K377" s="36"/>
      <c r="L377" s="36"/>
      <c r="M377" s="35"/>
      <c r="N377" s="32"/>
    </row>
    <row r="378" spans="1:64" x14ac:dyDescent="0.2">
      <c r="A378" s="79" t="s">
        <v>252</v>
      </c>
      <c r="B378" s="79" t="s">
        <v>435</v>
      </c>
      <c r="C378" s="194" t="s">
        <v>758</v>
      </c>
      <c r="D378" s="195"/>
      <c r="E378" s="195"/>
      <c r="F378" s="79" t="s">
        <v>1050</v>
      </c>
      <c r="G378" s="80">
        <v>85.81</v>
      </c>
      <c r="H378" s="80">
        <v>0</v>
      </c>
      <c r="I378" s="80">
        <f>G378*AO378</f>
        <v>0</v>
      </c>
      <c r="J378" s="80">
        <f>G378*AP378</f>
        <v>0</v>
      </c>
      <c r="K378" s="80">
        <f>G378*H378</f>
        <v>0</v>
      </c>
      <c r="L378" s="80">
        <f>G378*378</f>
        <v>32436.18</v>
      </c>
      <c r="M378" s="94" t="s">
        <v>1066</v>
      </c>
      <c r="N378" s="32"/>
      <c r="Z378" s="11">
        <f>IF(AQ378="5",BJ378,0)</f>
        <v>0</v>
      </c>
      <c r="AB378" s="11">
        <f>IF(AQ378="1",BH378,0)</f>
        <v>0</v>
      </c>
      <c r="AC378" s="11">
        <f>IF(AQ378="1",BI378,0)</f>
        <v>0</v>
      </c>
      <c r="AD378" s="11">
        <f>IF(AQ378="7",BH378,0)</f>
        <v>0</v>
      </c>
      <c r="AE378" s="11">
        <f>IF(AQ378="7",BI378,0)</f>
        <v>0</v>
      </c>
      <c r="AF378" s="11">
        <f>IF(AQ378="2",BH378,0)</f>
        <v>0</v>
      </c>
      <c r="AG378" s="11">
        <f>IF(AQ378="2",BI378,0)</f>
        <v>0</v>
      </c>
      <c r="AH378" s="11">
        <f>IF(AQ378="0",BJ378,0)</f>
        <v>0</v>
      </c>
      <c r="AI378" s="26" t="s">
        <v>77</v>
      </c>
      <c r="AJ378" s="20">
        <f>IF(AN378=0,K378,0)</f>
        <v>0</v>
      </c>
      <c r="AK378" s="20">
        <f>IF(AN378=15,K378,0)</f>
        <v>0</v>
      </c>
      <c r="AL378" s="20">
        <f>IF(AN378=21,K378,0)</f>
        <v>0</v>
      </c>
      <c r="AN378" s="11">
        <v>21</v>
      </c>
      <c r="AO378" s="11">
        <f>H378*0.401479323871208</f>
        <v>0</v>
      </c>
      <c r="AP378" s="11">
        <f>H378*(1-0.401479323871208)</f>
        <v>0</v>
      </c>
      <c r="AQ378" s="27" t="s">
        <v>144</v>
      </c>
      <c r="AV378" s="11">
        <f>AW378+AX378</f>
        <v>0</v>
      </c>
      <c r="AW378" s="11">
        <f>G378*AO378</f>
        <v>0</v>
      </c>
      <c r="AX378" s="11">
        <f>G378*AP378</f>
        <v>0</v>
      </c>
      <c r="AY378" s="29" t="s">
        <v>1085</v>
      </c>
      <c r="AZ378" s="29" t="s">
        <v>1114</v>
      </c>
      <c r="BA378" s="26" t="s">
        <v>1129</v>
      </c>
      <c r="BB378" s="26" t="s">
        <v>1142</v>
      </c>
      <c r="BC378" s="11">
        <f>AW378+AX378</f>
        <v>0</v>
      </c>
      <c r="BD378" s="11">
        <f>H378/(100-BE378)*100</f>
        <v>0</v>
      </c>
      <c r="BE378" s="11">
        <v>0</v>
      </c>
      <c r="BF378" s="11">
        <f>L378</f>
        <v>32436.18</v>
      </c>
      <c r="BH378" s="20">
        <f>G378*AO378</f>
        <v>0</v>
      </c>
      <c r="BI378" s="20">
        <f>G378*AP378</f>
        <v>0</v>
      </c>
      <c r="BJ378" s="20">
        <f>G378*H378</f>
        <v>0</v>
      </c>
      <c r="BK378" s="20" t="s">
        <v>1164</v>
      </c>
      <c r="BL378" s="11">
        <v>776</v>
      </c>
    </row>
    <row r="379" spans="1:64" x14ac:dyDescent="0.2">
      <c r="A379" s="35"/>
      <c r="B379" s="86" t="s">
        <v>354</v>
      </c>
      <c r="C379" s="196" t="s">
        <v>759</v>
      </c>
      <c r="D379" s="197"/>
      <c r="E379" s="197"/>
      <c r="F379" s="197"/>
      <c r="G379" s="197"/>
      <c r="H379" s="197"/>
      <c r="I379" s="197"/>
      <c r="J379" s="197"/>
      <c r="K379" s="197"/>
      <c r="L379" s="197"/>
      <c r="M379" s="197"/>
      <c r="N379" s="32"/>
    </row>
    <row r="380" spans="1:64" x14ac:dyDescent="0.2">
      <c r="A380" s="35"/>
      <c r="B380" s="36"/>
      <c r="C380" s="81" t="s">
        <v>760</v>
      </c>
      <c r="D380" s="36"/>
      <c r="E380" s="82"/>
      <c r="F380" s="36"/>
      <c r="G380" s="83">
        <v>85.81</v>
      </c>
      <c r="H380" s="36"/>
      <c r="I380" s="36"/>
      <c r="J380" s="36"/>
      <c r="K380" s="36"/>
      <c r="L380" s="36"/>
      <c r="M380" s="35"/>
      <c r="N380" s="32"/>
    </row>
    <row r="381" spans="1:64" x14ac:dyDescent="0.2">
      <c r="A381" s="84" t="s">
        <v>253</v>
      </c>
      <c r="B381" s="84" t="s">
        <v>436</v>
      </c>
      <c r="C381" s="198" t="s">
        <v>761</v>
      </c>
      <c r="D381" s="199"/>
      <c r="E381" s="199"/>
      <c r="F381" s="84" t="s">
        <v>1050</v>
      </c>
      <c r="G381" s="85">
        <v>95.739320000000006</v>
      </c>
      <c r="H381" s="85">
        <v>0</v>
      </c>
      <c r="I381" s="85">
        <f>G381*AO381</f>
        <v>0</v>
      </c>
      <c r="J381" s="85">
        <f>G381*AP381</f>
        <v>0</v>
      </c>
      <c r="K381" s="85">
        <f>G381*H381</f>
        <v>0</v>
      </c>
      <c r="L381" s="85">
        <f>G381*381</f>
        <v>36476.680919999999</v>
      </c>
      <c r="M381" s="95" t="s">
        <v>1067</v>
      </c>
      <c r="N381" s="32"/>
      <c r="Z381" s="11">
        <f>IF(AQ381="5",BJ381,0)</f>
        <v>0</v>
      </c>
      <c r="AB381" s="11">
        <f>IF(AQ381="1",BH381,0)</f>
        <v>0</v>
      </c>
      <c r="AC381" s="11">
        <f>IF(AQ381="1",BI381,0)</f>
        <v>0</v>
      </c>
      <c r="AD381" s="11">
        <f>IF(AQ381="7",BH381,0)</f>
        <v>0</v>
      </c>
      <c r="AE381" s="11">
        <f>IF(AQ381="7",BI381,0)</f>
        <v>0</v>
      </c>
      <c r="AF381" s="11">
        <f>IF(AQ381="2",BH381,0)</f>
        <v>0</v>
      </c>
      <c r="AG381" s="11">
        <f>IF(AQ381="2",BI381,0)</f>
        <v>0</v>
      </c>
      <c r="AH381" s="11">
        <f>IF(AQ381="0",BJ381,0)</f>
        <v>0</v>
      </c>
      <c r="AI381" s="26" t="s">
        <v>77</v>
      </c>
      <c r="AJ381" s="21">
        <f>IF(AN381=0,K381,0)</f>
        <v>0</v>
      </c>
      <c r="AK381" s="21">
        <f>IF(AN381=15,K381,0)</f>
        <v>0</v>
      </c>
      <c r="AL381" s="21">
        <f>IF(AN381=21,K381,0)</f>
        <v>0</v>
      </c>
      <c r="AN381" s="11">
        <v>21</v>
      </c>
      <c r="AO381" s="11">
        <f>H381*1</f>
        <v>0</v>
      </c>
      <c r="AP381" s="11">
        <f>H381*(1-1)</f>
        <v>0</v>
      </c>
      <c r="AQ381" s="28" t="s">
        <v>144</v>
      </c>
      <c r="AV381" s="11">
        <f>AW381+AX381</f>
        <v>0</v>
      </c>
      <c r="AW381" s="11">
        <f>G381*AO381</f>
        <v>0</v>
      </c>
      <c r="AX381" s="11">
        <f>G381*AP381</f>
        <v>0</v>
      </c>
      <c r="AY381" s="29" t="s">
        <v>1085</v>
      </c>
      <c r="AZ381" s="29" t="s">
        <v>1114</v>
      </c>
      <c r="BA381" s="26" t="s">
        <v>1129</v>
      </c>
      <c r="BC381" s="11">
        <f>AW381+AX381</f>
        <v>0</v>
      </c>
      <c r="BD381" s="11">
        <f>H381/(100-BE381)*100</f>
        <v>0</v>
      </c>
      <c r="BE381" s="11">
        <v>0</v>
      </c>
      <c r="BF381" s="11">
        <f>L381</f>
        <v>36476.680919999999</v>
      </c>
      <c r="BH381" s="21">
        <f>G381*AO381</f>
        <v>0</v>
      </c>
      <c r="BI381" s="21">
        <f>G381*AP381</f>
        <v>0</v>
      </c>
      <c r="BJ381" s="21">
        <f>G381*H381</f>
        <v>0</v>
      </c>
      <c r="BK381" s="21" t="s">
        <v>1165</v>
      </c>
      <c r="BL381" s="11">
        <v>776</v>
      </c>
    </row>
    <row r="382" spans="1:64" x14ac:dyDescent="0.2">
      <c r="A382" s="35"/>
      <c r="B382" s="36"/>
      <c r="C382" s="81" t="s">
        <v>762</v>
      </c>
      <c r="D382" s="36"/>
      <c r="E382" s="82" t="s">
        <v>1001</v>
      </c>
      <c r="F382" s="36"/>
      <c r="G382" s="83">
        <v>85.51</v>
      </c>
      <c r="H382" s="36"/>
      <c r="I382" s="36"/>
      <c r="J382" s="36"/>
      <c r="K382" s="36"/>
      <c r="L382" s="36"/>
      <c r="M382" s="35"/>
      <c r="N382" s="32"/>
    </row>
    <row r="383" spans="1:64" x14ac:dyDescent="0.2">
      <c r="A383" s="35"/>
      <c r="B383" s="36"/>
      <c r="C383" s="81" t="s">
        <v>763</v>
      </c>
      <c r="D383" s="36"/>
      <c r="E383" s="82" t="s">
        <v>1002</v>
      </c>
      <c r="F383" s="36"/>
      <c r="G383" s="83">
        <v>3.9660000000000002</v>
      </c>
      <c r="H383" s="36"/>
      <c r="I383" s="36"/>
      <c r="J383" s="36"/>
      <c r="K383" s="36"/>
      <c r="L383" s="36"/>
      <c r="M383" s="35"/>
      <c r="N383" s="32"/>
    </row>
    <row r="384" spans="1:64" x14ac:dyDescent="0.2">
      <c r="A384" s="35"/>
      <c r="B384" s="36"/>
      <c r="C384" s="81" t="s">
        <v>764</v>
      </c>
      <c r="D384" s="36"/>
      <c r="E384" s="82"/>
      <c r="F384" s="36"/>
      <c r="G384" s="83">
        <v>6.2633200000000002</v>
      </c>
      <c r="H384" s="36"/>
      <c r="I384" s="36"/>
      <c r="J384" s="36"/>
      <c r="K384" s="36"/>
      <c r="L384" s="36"/>
      <c r="M384" s="35"/>
      <c r="N384" s="32"/>
    </row>
    <row r="385" spans="1:64" x14ac:dyDescent="0.2">
      <c r="A385" s="79" t="s">
        <v>254</v>
      </c>
      <c r="B385" s="79" t="s">
        <v>437</v>
      </c>
      <c r="C385" s="194" t="s">
        <v>765</v>
      </c>
      <c r="D385" s="195"/>
      <c r="E385" s="195"/>
      <c r="F385" s="79" t="s">
        <v>1051</v>
      </c>
      <c r="G385" s="80">
        <v>79.319999999999993</v>
      </c>
      <c r="H385" s="80">
        <v>0</v>
      </c>
      <c r="I385" s="80">
        <f>G385*AO385</f>
        <v>0</v>
      </c>
      <c r="J385" s="80">
        <f>G385*AP385</f>
        <v>0</v>
      </c>
      <c r="K385" s="80">
        <f>G385*H385</f>
        <v>0</v>
      </c>
      <c r="L385" s="80">
        <f>G385*385</f>
        <v>30538.199999999997</v>
      </c>
      <c r="M385" s="94" t="s">
        <v>1066</v>
      </c>
      <c r="N385" s="32"/>
      <c r="Z385" s="11">
        <f>IF(AQ385="5",BJ385,0)</f>
        <v>0</v>
      </c>
      <c r="AB385" s="11">
        <f>IF(AQ385="1",BH385,0)</f>
        <v>0</v>
      </c>
      <c r="AC385" s="11">
        <f>IF(AQ385="1",BI385,0)</f>
        <v>0</v>
      </c>
      <c r="AD385" s="11">
        <f>IF(AQ385="7",BH385,0)</f>
        <v>0</v>
      </c>
      <c r="AE385" s="11">
        <f>IF(AQ385="7",BI385,0)</f>
        <v>0</v>
      </c>
      <c r="AF385" s="11">
        <f>IF(AQ385="2",BH385,0)</f>
        <v>0</v>
      </c>
      <c r="AG385" s="11">
        <f>IF(AQ385="2",BI385,0)</f>
        <v>0</v>
      </c>
      <c r="AH385" s="11">
        <f>IF(AQ385="0",BJ385,0)</f>
        <v>0</v>
      </c>
      <c r="AI385" s="26" t="s">
        <v>77</v>
      </c>
      <c r="AJ385" s="20">
        <f>IF(AN385=0,K385,0)</f>
        <v>0</v>
      </c>
      <c r="AK385" s="20">
        <f>IF(AN385=15,K385,0)</f>
        <v>0</v>
      </c>
      <c r="AL385" s="20">
        <f>IF(AN385=21,K385,0)</f>
        <v>0</v>
      </c>
      <c r="AN385" s="11">
        <v>21</v>
      </c>
      <c r="AO385" s="11">
        <f>H385*0.32321568627451</f>
        <v>0</v>
      </c>
      <c r="AP385" s="11">
        <f>H385*(1-0.32321568627451)</f>
        <v>0</v>
      </c>
      <c r="AQ385" s="27" t="s">
        <v>144</v>
      </c>
      <c r="AV385" s="11">
        <f>AW385+AX385</f>
        <v>0</v>
      </c>
      <c r="AW385" s="11">
        <f>G385*AO385</f>
        <v>0</v>
      </c>
      <c r="AX385" s="11">
        <f>G385*AP385</f>
        <v>0</v>
      </c>
      <c r="AY385" s="29" t="s">
        <v>1085</v>
      </c>
      <c r="AZ385" s="29" t="s">
        <v>1114</v>
      </c>
      <c r="BA385" s="26" t="s">
        <v>1129</v>
      </c>
      <c r="BB385" s="26" t="s">
        <v>1142</v>
      </c>
      <c r="BC385" s="11">
        <f>AW385+AX385</f>
        <v>0</v>
      </c>
      <c r="BD385" s="11">
        <f>H385/(100-BE385)*100</f>
        <v>0</v>
      </c>
      <c r="BE385" s="11">
        <v>0</v>
      </c>
      <c r="BF385" s="11">
        <f>L385</f>
        <v>30538.199999999997</v>
      </c>
      <c r="BH385" s="20">
        <f>G385*AO385</f>
        <v>0</v>
      </c>
      <c r="BI385" s="20">
        <f>G385*AP385</f>
        <v>0</v>
      </c>
      <c r="BJ385" s="20">
        <f>G385*H385</f>
        <v>0</v>
      </c>
      <c r="BK385" s="20" t="s">
        <v>1164</v>
      </c>
      <c r="BL385" s="11">
        <v>776</v>
      </c>
    </row>
    <row r="386" spans="1:64" x14ac:dyDescent="0.2">
      <c r="A386" s="35"/>
      <c r="B386" s="36"/>
      <c r="C386" s="81" t="s">
        <v>766</v>
      </c>
      <c r="D386" s="36"/>
      <c r="E386" s="82"/>
      <c r="F386" s="36"/>
      <c r="G386" s="83">
        <v>84.12</v>
      </c>
      <c r="H386" s="36"/>
      <c r="I386" s="36"/>
      <c r="J386" s="36"/>
      <c r="K386" s="36"/>
      <c r="L386" s="36"/>
      <c r="M386" s="35"/>
      <c r="N386" s="32"/>
    </row>
    <row r="387" spans="1:64" x14ac:dyDescent="0.2">
      <c r="A387" s="35"/>
      <c r="B387" s="36"/>
      <c r="C387" s="81" t="s">
        <v>767</v>
      </c>
      <c r="D387" s="36"/>
      <c r="E387" s="82"/>
      <c r="F387" s="36"/>
      <c r="G387" s="83">
        <v>-4.8</v>
      </c>
      <c r="H387" s="36"/>
      <c r="I387" s="36"/>
      <c r="J387" s="36"/>
      <c r="K387" s="36"/>
      <c r="L387" s="36"/>
      <c r="M387" s="35"/>
      <c r="N387" s="32"/>
    </row>
    <row r="388" spans="1:64" x14ac:dyDescent="0.2">
      <c r="A388" s="84" t="s">
        <v>255</v>
      </c>
      <c r="B388" s="84" t="s">
        <v>402</v>
      </c>
      <c r="C388" s="198" t="s">
        <v>634</v>
      </c>
      <c r="D388" s="199"/>
      <c r="E388" s="199"/>
      <c r="F388" s="84" t="s">
        <v>1051</v>
      </c>
      <c r="G388" s="85">
        <v>79.319999999999993</v>
      </c>
      <c r="H388" s="85">
        <v>0</v>
      </c>
      <c r="I388" s="85">
        <f>G388*AO388</f>
        <v>0</v>
      </c>
      <c r="J388" s="85">
        <f>G388*AP388</f>
        <v>0</v>
      </c>
      <c r="K388" s="85">
        <f>G388*H388</f>
        <v>0</v>
      </c>
      <c r="L388" s="85">
        <f>G388*388</f>
        <v>30776.159999999996</v>
      </c>
      <c r="M388" s="95" t="s">
        <v>1067</v>
      </c>
      <c r="N388" s="32"/>
      <c r="Z388" s="11">
        <f>IF(AQ388="5",BJ388,0)</f>
        <v>0</v>
      </c>
      <c r="AB388" s="11">
        <f>IF(AQ388="1",BH388,0)</f>
        <v>0</v>
      </c>
      <c r="AC388" s="11">
        <f>IF(AQ388="1",BI388,0)</f>
        <v>0</v>
      </c>
      <c r="AD388" s="11">
        <f>IF(AQ388="7",BH388,0)</f>
        <v>0</v>
      </c>
      <c r="AE388" s="11">
        <f>IF(AQ388="7",BI388,0)</f>
        <v>0</v>
      </c>
      <c r="AF388" s="11">
        <f>IF(AQ388="2",BH388,0)</f>
        <v>0</v>
      </c>
      <c r="AG388" s="11">
        <f>IF(AQ388="2",BI388,0)</f>
        <v>0</v>
      </c>
      <c r="AH388" s="11">
        <f>IF(AQ388="0",BJ388,0)</f>
        <v>0</v>
      </c>
      <c r="AI388" s="26" t="s">
        <v>77</v>
      </c>
      <c r="AJ388" s="21">
        <f>IF(AN388=0,K388,0)</f>
        <v>0</v>
      </c>
      <c r="AK388" s="21">
        <f>IF(AN388=15,K388,0)</f>
        <v>0</v>
      </c>
      <c r="AL388" s="21">
        <f>IF(AN388=21,K388,0)</f>
        <v>0</v>
      </c>
      <c r="AN388" s="11">
        <v>21</v>
      </c>
      <c r="AO388" s="11">
        <f>H388*1</f>
        <v>0</v>
      </c>
      <c r="AP388" s="11">
        <f>H388*(1-1)</f>
        <v>0</v>
      </c>
      <c r="AQ388" s="28" t="s">
        <v>144</v>
      </c>
      <c r="AV388" s="11">
        <f>AW388+AX388</f>
        <v>0</v>
      </c>
      <c r="AW388" s="11">
        <f>G388*AO388</f>
        <v>0</v>
      </c>
      <c r="AX388" s="11">
        <f>G388*AP388</f>
        <v>0</v>
      </c>
      <c r="AY388" s="29" t="s">
        <v>1085</v>
      </c>
      <c r="AZ388" s="29" t="s">
        <v>1114</v>
      </c>
      <c r="BA388" s="26" t="s">
        <v>1129</v>
      </c>
      <c r="BC388" s="11">
        <f>AW388+AX388</f>
        <v>0</v>
      </c>
      <c r="BD388" s="11">
        <f>H388/(100-BE388)*100</f>
        <v>0</v>
      </c>
      <c r="BE388" s="11">
        <v>0</v>
      </c>
      <c r="BF388" s="11">
        <f>L388</f>
        <v>30776.159999999996</v>
      </c>
      <c r="BH388" s="21">
        <f>G388*AO388</f>
        <v>0</v>
      </c>
      <c r="BI388" s="21">
        <f>G388*AP388</f>
        <v>0</v>
      </c>
      <c r="BJ388" s="21">
        <f>G388*H388</f>
        <v>0</v>
      </c>
      <c r="BK388" s="21" t="s">
        <v>1165</v>
      </c>
      <c r="BL388" s="11">
        <v>776</v>
      </c>
    </row>
    <row r="389" spans="1:64" x14ac:dyDescent="0.2">
      <c r="A389" s="35"/>
      <c r="B389" s="36"/>
      <c r="C389" s="81" t="s">
        <v>768</v>
      </c>
      <c r="D389" s="36"/>
      <c r="E389" s="82" t="s">
        <v>949</v>
      </c>
      <c r="F389" s="36"/>
      <c r="G389" s="83">
        <v>79.319999999999993</v>
      </c>
      <c r="H389" s="36"/>
      <c r="I389" s="36"/>
      <c r="J389" s="36"/>
      <c r="K389" s="36"/>
      <c r="L389" s="36"/>
      <c r="M389" s="35"/>
      <c r="N389" s="32"/>
    </row>
    <row r="390" spans="1:64" x14ac:dyDescent="0.2">
      <c r="A390" s="79" t="s">
        <v>256</v>
      </c>
      <c r="B390" s="79" t="s">
        <v>438</v>
      </c>
      <c r="C390" s="194" t="s">
        <v>769</v>
      </c>
      <c r="D390" s="195"/>
      <c r="E390" s="195"/>
      <c r="F390" s="79" t="s">
        <v>1051</v>
      </c>
      <c r="G390" s="80">
        <v>79.319999999999993</v>
      </c>
      <c r="H390" s="80">
        <v>0</v>
      </c>
      <c r="I390" s="80">
        <f>G390*AO390</f>
        <v>0</v>
      </c>
      <c r="J390" s="80">
        <f>G390*AP390</f>
        <v>0</v>
      </c>
      <c r="K390" s="80">
        <f>G390*H390</f>
        <v>0</v>
      </c>
      <c r="L390" s="80">
        <f>G390*390</f>
        <v>30934.799999999996</v>
      </c>
      <c r="M390" s="94" t="s">
        <v>1066</v>
      </c>
      <c r="N390" s="32"/>
      <c r="Z390" s="11">
        <f>IF(AQ390="5",BJ390,0)</f>
        <v>0</v>
      </c>
      <c r="AB390" s="11">
        <f>IF(AQ390="1",BH390,0)</f>
        <v>0</v>
      </c>
      <c r="AC390" s="11">
        <f>IF(AQ390="1",BI390,0)</f>
        <v>0</v>
      </c>
      <c r="AD390" s="11">
        <f>IF(AQ390="7",BH390,0)</f>
        <v>0</v>
      </c>
      <c r="AE390" s="11">
        <f>IF(AQ390="7",BI390,0)</f>
        <v>0</v>
      </c>
      <c r="AF390" s="11">
        <f>IF(AQ390="2",BH390,0)</f>
        <v>0</v>
      </c>
      <c r="AG390" s="11">
        <f>IF(AQ390="2",BI390,0)</f>
        <v>0</v>
      </c>
      <c r="AH390" s="11">
        <f>IF(AQ390="0",BJ390,0)</f>
        <v>0</v>
      </c>
      <c r="AI390" s="26" t="s">
        <v>77</v>
      </c>
      <c r="AJ390" s="20">
        <f>IF(AN390=0,K390,0)</f>
        <v>0</v>
      </c>
      <c r="AK390" s="20">
        <f>IF(AN390=15,K390,0)</f>
        <v>0</v>
      </c>
      <c r="AL390" s="20">
        <f>IF(AN390=21,K390,0)</f>
        <v>0</v>
      </c>
      <c r="AN390" s="11">
        <v>21</v>
      </c>
      <c r="AO390" s="11">
        <f>H390*0.0875829383886256</f>
        <v>0</v>
      </c>
      <c r="AP390" s="11">
        <f>H390*(1-0.0875829383886256)</f>
        <v>0</v>
      </c>
      <c r="AQ390" s="27" t="s">
        <v>144</v>
      </c>
      <c r="AV390" s="11">
        <f>AW390+AX390</f>
        <v>0</v>
      </c>
      <c r="AW390" s="11">
        <f>G390*AO390</f>
        <v>0</v>
      </c>
      <c r="AX390" s="11">
        <f>G390*AP390</f>
        <v>0</v>
      </c>
      <c r="AY390" s="29" t="s">
        <v>1085</v>
      </c>
      <c r="AZ390" s="29" t="s">
        <v>1114</v>
      </c>
      <c r="BA390" s="26" t="s">
        <v>1129</v>
      </c>
      <c r="BB390" s="26" t="s">
        <v>1142</v>
      </c>
      <c r="BC390" s="11">
        <f>AW390+AX390</f>
        <v>0</v>
      </c>
      <c r="BD390" s="11">
        <f>H390/(100-BE390)*100</f>
        <v>0</v>
      </c>
      <c r="BE390" s="11">
        <v>0</v>
      </c>
      <c r="BF390" s="11">
        <f>L390</f>
        <v>30934.799999999996</v>
      </c>
      <c r="BH390" s="20">
        <f>G390*AO390</f>
        <v>0</v>
      </c>
      <c r="BI390" s="20">
        <f>G390*AP390</f>
        <v>0</v>
      </c>
      <c r="BJ390" s="20">
        <f>G390*H390</f>
        <v>0</v>
      </c>
      <c r="BK390" s="20" t="s">
        <v>1164</v>
      </c>
      <c r="BL390" s="11">
        <v>776</v>
      </c>
    </row>
    <row r="391" spans="1:64" x14ac:dyDescent="0.2">
      <c r="A391" s="35"/>
      <c r="B391" s="36"/>
      <c r="C391" s="81" t="s">
        <v>768</v>
      </c>
      <c r="D391" s="36"/>
      <c r="E391" s="82"/>
      <c r="F391" s="36"/>
      <c r="G391" s="83">
        <v>79.319999999999993</v>
      </c>
      <c r="H391" s="36"/>
      <c r="I391" s="36"/>
      <c r="J391" s="36"/>
      <c r="K391" s="36"/>
      <c r="L391" s="36"/>
      <c r="M391" s="35"/>
      <c r="N391" s="32"/>
    </row>
    <row r="392" spans="1:64" x14ac:dyDescent="0.2">
      <c r="A392" s="79" t="s">
        <v>257</v>
      </c>
      <c r="B392" s="79" t="s">
        <v>403</v>
      </c>
      <c r="C392" s="194" t="s">
        <v>637</v>
      </c>
      <c r="D392" s="195"/>
      <c r="E392" s="195"/>
      <c r="F392" s="79" t="s">
        <v>1050</v>
      </c>
      <c r="G392" s="80">
        <v>118.67</v>
      </c>
      <c r="H392" s="80">
        <v>0</v>
      </c>
      <c r="I392" s="80">
        <f>G392*AO392</f>
        <v>0</v>
      </c>
      <c r="J392" s="80">
        <f>G392*AP392</f>
        <v>0</v>
      </c>
      <c r="K392" s="80">
        <f>G392*H392</f>
        <v>0</v>
      </c>
      <c r="L392" s="80">
        <f>G392*392</f>
        <v>46518.64</v>
      </c>
      <c r="M392" s="94" t="s">
        <v>1066</v>
      </c>
      <c r="N392" s="32"/>
      <c r="Z392" s="11">
        <f>IF(AQ392="5",BJ392,0)</f>
        <v>0</v>
      </c>
      <c r="AB392" s="11">
        <f>IF(AQ392="1",BH392,0)</f>
        <v>0</v>
      </c>
      <c r="AC392" s="11">
        <f>IF(AQ392="1",BI392,0)</f>
        <v>0</v>
      </c>
      <c r="AD392" s="11">
        <f>IF(AQ392="7",BH392,0)</f>
        <v>0</v>
      </c>
      <c r="AE392" s="11">
        <f>IF(AQ392="7",BI392,0)</f>
        <v>0</v>
      </c>
      <c r="AF392" s="11">
        <f>IF(AQ392="2",BH392,0)</f>
        <v>0</v>
      </c>
      <c r="AG392" s="11">
        <f>IF(AQ392="2",BI392,0)</f>
        <v>0</v>
      </c>
      <c r="AH392" s="11">
        <f>IF(AQ392="0",BJ392,0)</f>
        <v>0</v>
      </c>
      <c r="AI392" s="26" t="s">
        <v>77</v>
      </c>
      <c r="AJ392" s="20">
        <f>IF(AN392=0,K392,0)</f>
        <v>0</v>
      </c>
      <c r="AK392" s="20">
        <f>IF(AN392=15,K392,0)</f>
        <v>0</v>
      </c>
      <c r="AL392" s="20">
        <f>IF(AN392=21,K392,0)</f>
        <v>0</v>
      </c>
      <c r="AN392" s="11">
        <v>21</v>
      </c>
      <c r="AO392" s="11">
        <f>H392*0</f>
        <v>0</v>
      </c>
      <c r="AP392" s="11">
        <f>H392*(1-0)</f>
        <v>0</v>
      </c>
      <c r="AQ392" s="27" t="s">
        <v>144</v>
      </c>
      <c r="AV392" s="11">
        <f>AW392+AX392</f>
        <v>0</v>
      </c>
      <c r="AW392" s="11">
        <f>G392*AO392</f>
        <v>0</v>
      </c>
      <c r="AX392" s="11">
        <f>G392*AP392</f>
        <v>0</v>
      </c>
      <c r="AY392" s="29" t="s">
        <v>1085</v>
      </c>
      <c r="AZ392" s="29" t="s">
        <v>1114</v>
      </c>
      <c r="BA392" s="26" t="s">
        <v>1129</v>
      </c>
      <c r="BB392" s="26" t="s">
        <v>1142</v>
      </c>
      <c r="BC392" s="11">
        <f>AW392+AX392</f>
        <v>0</v>
      </c>
      <c r="BD392" s="11">
        <f>H392/(100-BE392)*100</f>
        <v>0</v>
      </c>
      <c r="BE392" s="11">
        <v>0</v>
      </c>
      <c r="BF392" s="11">
        <f>L392</f>
        <v>46518.64</v>
      </c>
      <c r="BH392" s="20">
        <f>G392*AO392</f>
        <v>0</v>
      </c>
      <c r="BI392" s="20">
        <f>G392*AP392</f>
        <v>0</v>
      </c>
      <c r="BJ392" s="20">
        <f>G392*H392</f>
        <v>0</v>
      </c>
      <c r="BK392" s="20" t="s">
        <v>1164</v>
      </c>
      <c r="BL392" s="11">
        <v>776</v>
      </c>
    </row>
    <row r="393" spans="1:64" x14ac:dyDescent="0.2">
      <c r="A393" s="35"/>
      <c r="B393" s="36"/>
      <c r="C393" s="81" t="s">
        <v>753</v>
      </c>
      <c r="D393" s="36"/>
      <c r="E393" s="82"/>
      <c r="F393" s="36"/>
      <c r="G393" s="83">
        <v>118.67</v>
      </c>
      <c r="H393" s="36"/>
      <c r="I393" s="36"/>
      <c r="J393" s="36"/>
      <c r="K393" s="36"/>
      <c r="L393" s="36"/>
      <c r="M393" s="35"/>
      <c r="N393" s="32"/>
    </row>
    <row r="394" spans="1:64" x14ac:dyDescent="0.2">
      <c r="A394" s="84" t="s">
        <v>258</v>
      </c>
      <c r="B394" s="84" t="s">
        <v>386</v>
      </c>
      <c r="C394" s="198" t="s">
        <v>639</v>
      </c>
      <c r="D394" s="199"/>
      <c r="E394" s="199"/>
      <c r="F394" s="84" t="s">
        <v>1054</v>
      </c>
      <c r="G394" s="85">
        <v>1008.6950000000001</v>
      </c>
      <c r="H394" s="85">
        <v>0</v>
      </c>
      <c r="I394" s="85">
        <f>G394*AO394</f>
        <v>0</v>
      </c>
      <c r="J394" s="85">
        <f>G394*AP394</f>
        <v>0</v>
      </c>
      <c r="K394" s="85">
        <f>G394*H394</f>
        <v>0</v>
      </c>
      <c r="L394" s="85">
        <f>G394*394</f>
        <v>397425.83</v>
      </c>
      <c r="M394" s="95" t="s">
        <v>1067</v>
      </c>
      <c r="N394" s="32"/>
      <c r="Z394" s="11">
        <f>IF(AQ394="5",BJ394,0)</f>
        <v>0</v>
      </c>
      <c r="AB394" s="11">
        <f>IF(AQ394="1",BH394,0)</f>
        <v>0</v>
      </c>
      <c r="AC394" s="11">
        <f>IF(AQ394="1",BI394,0)</f>
        <v>0</v>
      </c>
      <c r="AD394" s="11">
        <f>IF(AQ394="7",BH394,0)</f>
        <v>0</v>
      </c>
      <c r="AE394" s="11">
        <f>IF(AQ394="7",BI394,0)</f>
        <v>0</v>
      </c>
      <c r="AF394" s="11">
        <f>IF(AQ394="2",BH394,0)</f>
        <v>0</v>
      </c>
      <c r="AG394" s="11">
        <f>IF(AQ394="2",BI394,0)</f>
        <v>0</v>
      </c>
      <c r="AH394" s="11">
        <f>IF(AQ394="0",BJ394,0)</f>
        <v>0</v>
      </c>
      <c r="AI394" s="26" t="s">
        <v>77</v>
      </c>
      <c r="AJ394" s="21">
        <f>IF(AN394=0,K394,0)</f>
        <v>0</v>
      </c>
      <c r="AK394" s="21">
        <f>IF(AN394=15,K394,0)</f>
        <v>0</v>
      </c>
      <c r="AL394" s="21">
        <f>IF(AN394=21,K394,0)</f>
        <v>0</v>
      </c>
      <c r="AN394" s="11">
        <v>21</v>
      </c>
      <c r="AO394" s="11">
        <f>H394*1</f>
        <v>0</v>
      </c>
      <c r="AP394" s="11">
        <f>H394*(1-1)</f>
        <v>0</v>
      </c>
      <c r="AQ394" s="28" t="s">
        <v>144</v>
      </c>
      <c r="AV394" s="11">
        <f>AW394+AX394</f>
        <v>0</v>
      </c>
      <c r="AW394" s="11">
        <f>G394*AO394</f>
        <v>0</v>
      </c>
      <c r="AX394" s="11">
        <f>G394*AP394</f>
        <v>0</v>
      </c>
      <c r="AY394" s="29" t="s">
        <v>1085</v>
      </c>
      <c r="AZ394" s="29" t="s">
        <v>1114</v>
      </c>
      <c r="BA394" s="26" t="s">
        <v>1129</v>
      </c>
      <c r="BC394" s="11">
        <f>AW394+AX394</f>
        <v>0</v>
      </c>
      <c r="BD394" s="11">
        <f>H394/(100-BE394)*100</f>
        <v>0</v>
      </c>
      <c r="BE394" s="11">
        <v>0</v>
      </c>
      <c r="BF394" s="11">
        <f>L394</f>
        <v>397425.83</v>
      </c>
      <c r="BH394" s="21">
        <f>G394*AO394</f>
        <v>0</v>
      </c>
      <c r="BI394" s="21">
        <f>G394*AP394</f>
        <v>0</v>
      </c>
      <c r="BJ394" s="21">
        <f>G394*H394</f>
        <v>0</v>
      </c>
      <c r="BK394" s="21" t="s">
        <v>1165</v>
      </c>
      <c r="BL394" s="11">
        <v>776</v>
      </c>
    </row>
    <row r="395" spans="1:64" x14ac:dyDescent="0.2">
      <c r="A395" s="35"/>
      <c r="B395" s="36"/>
      <c r="C395" s="81" t="s">
        <v>770</v>
      </c>
      <c r="D395" s="36"/>
      <c r="E395" s="82" t="s">
        <v>945</v>
      </c>
      <c r="F395" s="36"/>
      <c r="G395" s="83">
        <v>1008.6950000000001</v>
      </c>
      <c r="H395" s="36"/>
      <c r="I395" s="36"/>
      <c r="J395" s="36"/>
      <c r="K395" s="36"/>
      <c r="L395" s="36"/>
      <c r="M395" s="35"/>
      <c r="N395" s="32"/>
    </row>
    <row r="396" spans="1:64" x14ac:dyDescent="0.2">
      <c r="A396" s="77"/>
      <c r="B396" s="76" t="s">
        <v>93</v>
      </c>
      <c r="C396" s="204" t="s">
        <v>119</v>
      </c>
      <c r="D396" s="205"/>
      <c r="E396" s="205"/>
      <c r="F396" s="77" t="s">
        <v>60</v>
      </c>
      <c r="G396" s="77" t="s">
        <v>60</v>
      </c>
      <c r="H396" s="77" t="s">
        <v>60</v>
      </c>
      <c r="I396" s="78">
        <f>SUM(I397:I399)</f>
        <v>0</v>
      </c>
      <c r="J396" s="78">
        <f>SUM(J397:J399)</f>
        <v>0</v>
      </c>
      <c r="K396" s="78">
        <f>SUM(K397:K399)</f>
        <v>0</v>
      </c>
      <c r="L396" s="78">
        <f>SUM(L397:L399)</f>
        <v>6527.1999999999989</v>
      </c>
      <c r="M396" s="93"/>
      <c r="N396" s="32"/>
      <c r="AI396" s="26" t="s">
        <v>77</v>
      </c>
      <c r="AS396" s="31">
        <f>SUM(AJ397:AJ399)</f>
        <v>0</v>
      </c>
      <c r="AT396" s="31">
        <f>SUM(AK397:AK399)</f>
        <v>0</v>
      </c>
      <c r="AU396" s="31">
        <f>SUM(AL397:AL399)</f>
        <v>0</v>
      </c>
    </row>
    <row r="397" spans="1:64" x14ac:dyDescent="0.2">
      <c r="A397" s="79" t="s">
        <v>259</v>
      </c>
      <c r="B397" s="79" t="s">
        <v>404</v>
      </c>
      <c r="C397" s="194" t="s">
        <v>642</v>
      </c>
      <c r="D397" s="195"/>
      <c r="E397" s="195"/>
      <c r="F397" s="79" t="s">
        <v>1050</v>
      </c>
      <c r="G397" s="80">
        <v>8.1999999999999993</v>
      </c>
      <c r="H397" s="80">
        <v>0</v>
      </c>
      <c r="I397" s="80">
        <f>G397*AO397</f>
        <v>0</v>
      </c>
      <c r="J397" s="80">
        <f>G397*AP397</f>
        <v>0</v>
      </c>
      <c r="K397" s="80">
        <f>G397*H397</f>
        <v>0</v>
      </c>
      <c r="L397" s="80">
        <f>G397*397</f>
        <v>3255.3999999999996</v>
      </c>
      <c r="M397" s="94" t="s">
        <v>1066</v>
      </c>
      <c r="N397" s="32"/>
      <c r="Z397" s="11">
        <f>IF(AQ397="5",BJ397,0)</f>
        <v>0</v>
      </c>
      <c r="AB397" s="11">
        <f>IF(AQ397="1",BH397,0)</f>
        <v>0</v>
      </c>
      <c r="AC397" s="11">
        <f>IF(AQ397="1",BI397,0)</f>
        <v>0</v>
      </c>
      <c r="AD397" s="11">
        <f>IF(AQ397="7",BH397,0)</f>
        <v>0</v>
      </c>
      <c r="AE397" s="11">
        <f>IF(AQ397="7",BI397,0)</f>
        <v>0</v>
      </c>
      <c r="AF397" s="11">
        <f>IF(AQ397="2",BH397,0)</f>
        <v>0</v>
      </c>
      <c r="AG397" s="11">
        <f>IF(AQ397="2",BI397,0)</f>
        <v>0</v>
      </c>
      <c r="AH397" s="11">
        <f>IF(AQ397="0",BJ397,0)</f>
        <v>0</v>
      </c>
      <c r="AI397" s="26" t="s">
        <v>77</v>
      </c>
      <c r="AJ397" s="20">
        <f>IF(AN397=0,K397,0)</f>
        <v>0</v>
      </c>
      <c r="AK397" s="20">
        <f>IF(AN397=15,K397,0)</f>
        <v>0</v>
      </c>
      <c r="AL397" s="20">
        <f>IF(AN397=21,K397,0)</f>
        <v>0</v>
      </c>
      <c r="AN397" s="11">
        <v>21</v>
      </c>
      <c r="AO397" s="11">
        <f>H397*0.0894736842105263</f>
        <v>0</v>
      </c>
      <c r="AP397" s="11">
        <f>H397*(1-0.0894736842105263)</f>
        <v>0</v>
      </c>
      <c r="AQ397" s="27" t="s">
        <v>144</v>
      </c>
      <c r="AV397" s="11">
        <f>AW397+AX397</f>
        <v>0</v>
      </c>
      <c r="AW397" s="11">
        <f>G397*AO397</f>
        <v>0</v>
      </c>
      <c r="AX397" s="11">
        <f>G397*AP397</f>
        <v>0</v>
      </c>
      <c r="AY397" s="29" t="s">
        <v>1086</v>
      </c>
      <c r="AZ397" s="29" t="s">
        <v>1115</v>
      </c>
      <c r="BA397" s="26" t="s">
        <v>1129</v>
      </c>
      <c r="BB397" s="26" t="s">
        <v>1143</v>
      </c>
      <c r="BC397" s="11">
        <f>AW397+AX397</f>
        <v>0</v>
      </c>
      <c r="BD397" s="11">
        <f>H397/(100-BE397)*100</f>
        <v>0</v>
      </c>
      <c r="BE397" s="11">
        <v>0</v>
      </c>
      <c r="BF397" s="11">
        <f>L397</f>
        <v>3255.3999999999996</v>
      </c>
      <c r="BH397" s="20">
        <f>G397*AO397</f>
        <v>0</v>
      </c>
      <c r="BI397" s="20">
        <f>G397*AP397</f>
        <v>0</v>
      </c>
      <c r="BJ397" s="20">
        <f>G397*H397</f>
        <v>0</v>
      </c>
      <c r="BK397" s="20" t="s">
        <v>1164</v>
      </c>
      <c r="BL397" s="11">
        <v>783</v>
      </c>
    </row>
    <row r="398" spans="1:64" x14ac:dyDescent="0.2">
      <c r="A398" s="35"/>
      <c r="B398" s="36"/>
      <c r="C398" s="81" t="s">
        <v>771</v>
      </c>
      <c r="D398" s="36"/>
      <c r="E398" s="82" t="s">
        <v>951</v>
      </c>
      <c r="F398" s="36"/>
      <c r="G398" s="83">
        <v>8.1999999999999993</v>
      </c>
      <c r="H398" s="36"/>
      <c r="I398" s="36"/>
      <c r="J398" s="36"/>
      <c r="K398" s="36"/>
      <c r="L398" s="36"/>
      <c r="M398" s="35"/>
      <c r="N398" s="32"/>
    </row>
    <row r="399" spans="1:64" x14ac:dyDescent="0.2">
      <c r="A399" s="79" t="s">
        <v>260</v>
      </c>
      <c r="B399" s="79" t="s">
        <v>405</v>
      </c>
      <c r="C399" s="194" t="s">
        <v>644</v>
      </c>
      <c r="D399" s="195"/>
      <c r="E399" s="195"/>
      <c r="F399" s="79" t="s">
        <v>1050</v>
      </c>
      <c r="G399" s="80">
        <v>8.1999999999999993</v>
      </c>
      <c r="H399" s="80">
        <v>0</v>
      </c>
      <c r="I399" s="80">
        <f>G399*AO399</f>
        <v>0</v>
      </c>
      <c r="J399" s="80">
        <f>G399*AP399</f>
        <v>0</v>
      </c>
      <c r="K399" s="80">
        <f>G399*H399</f>
        <v>0</v>
      </c>
      <c r="L399" s="80">
        <f>G399*399</f>
        <v>3271.7999999999997</v>
      </c>
      <c r="M399" s="94" t="s">
        <v>1066</v>
      </c>
      <c r="N399" s="32"/>
      <c r="Z399" s="11">
        <f>IF(AQ399="5",BJ399,0)</f>
        <v>0</v>
      </c>
      <c r="AB399" s="11">
        <f>IF(AQ399="1",BH399,0)</f>
        <v>0</v>
      </c>
      <c r="AC399" s="11">
        <f>IF(AQ399="1",BI399,0)</f>
        <v>0</v>
      </c>
      <c r="AD399" s="11">
        <f>IF(AQ399="7",BH399,0)</f>
        <v>0</v>
      </c>
      <c r="AE399" s="11">
        <f>IF(AQ399="7",BI399,0)</f>
        <v>0</v>
      </c>
      <c r="AF399" s="11">
        <f>IF(AQ399="2",BH399,0)</f>
        <v>0</v>
      </c>
      <c r="AG399" s="11">
        <f>IF(AQ399="2",BI399,0)</f>
        <v>0</v>
      </c>
      <c r="AH399" s="11">
        <f>IF(AQ399="0",BJ399,0)</f>
        <v>0</v>
      </c>
      <c r="AI399" s="26" t="s">
        <v>77</v>
      </c>
      <c r="AJ399" s="20">
        <f>IF(AN399=0,K399,0)</f>
        <v>0</v>
      </c>
      <c r="AK399" s="20">
        <f>IF(AN399=15,K399,0)</f>
        <v>0</v>
      </c>
      <c r="AL399" s="20">
        <f>IF(AN399=21,K399,0)</f>
        <v>0</v>
      </c>
      <c r="AN399" s="11">
        <v>21</v>
      </c>
      <c r="AO399" s="11">
        <f>H399*0.443663278436693</f>
        <v>0</v>
      </c>
      <c r="AP399" s="11">
        <f>H399*(1-0.443663278436693)</f>
        <v>0</v>
      </c>
      <c r="AQ399" s="27" t="s">
        <v>144</v>
      </c>
      <c r="AV399" s="11">
        <f>AW399+AX399</f>
        <v>0</v>
      </c>
      <c r="AW399" s="11">
        <f>G399*AO399</f>
        <v>0</v>
      </c>
      <c r="AX399" s="11">
        <f>G399*AP399</f>
        <v>0</v>
      </c>
      <c r="AY399" s="29" t="s">
        <v>1086</v>
      </c>
      <c r="AZ399" s="29" t="s">
        <v>1115</v>
      </c>
      <c r="BA399" s="26" t="s">
        <v>1129</v>
      </c>
      <c r="BB399" s="26" t="s">
        <v>1143</v>
      </c>
      <c r="BC399" s="11">
        <f>AW399+AX399</f>
        <v>0</v>
      </c>
      <c r="BD399" s="11">
        <f>H399/(100-BE399)*100</f>
        <v>0</v>
      </c>
      <c r="BE399" s="11">
        <v>0</v>
      </c>
      <c r="BF399" s="11">
        <f>L399</f>
        <v>3271.7999999999997</v>
      </c>
      <c r="BH399" s="20">
        <f>G399*AO399</f>
        <v>0</v>
      </c>
      <c r="BI399" s="20">
        <f>G399*AP399</f>
        <v>0</v>
      </c>
      <c r="BJ399" s="20">
        <f>G399*H399</f>
        <v>0</v>
      </c>
      <c r="BK399" s="20" t="s">
        <v>1164</v>
      </c>
      <c r="BL399" s="11">
        <v>783</v>
      </c>
    </row>
    <row r="400" spans="1:64" x14ac:dyDescent="0.2">
      <c r="A400" s="35"/>
      <c r="B400" s="36"/>
      <c r="C400" s="81" t="s">
        <v>772</v>
      </c>
      <c r="D400" s="36"/>
      <c r="E400" s="82"/>
      <c r="F400" s="36"/>
      <c r="G400" s="83">
        <v>8.1999999999999993</v>
      </c>
      <c r="H400" s="36"/>
      <c r="I400" s="36"/>
      <c r="J400" s="36"/>
      <c r="K400" s="36"/>
      <c r="L400" s="36"/>
      <c r="M400" s="35"/>
      <c r="N400" s="32"/>
    </row>
    <row r="401" spans="1:64" x14ac:dyDescent="0.2">
      <c r="A401" s="77"/>
      <c r="B401" s="76" t="s">
        <v>94</v>
      </c>
      <c r="C401" s="204" t="s">
        <v>120</v>
      </c>
      <c r="D401" s="205"/>
      <c r="E401" s="205"/>
      <c r="F401" s="77" t="s">
        <v>60</v>
      </c>
      <c r="G401" s="77" t="s">
        <v>60</v>
      </c>
      <c r="H401" s="77" t="s">
        <v>60</v>
      </c>
      <c r="I401" s="78">
        <f>SUM(I402:I405)</f>
        <v>0</v>
      </c>
      <c r="J401" s="78">
        <f>SUM(J402:J405)</f>
        <v>0</v>
      </c>
      <c r="K401" s="78">
        <f>SUM(K402:K405)</f>
        <v>0</v>
      </c>
      <c r="L401" s="78">
        <f>SUM(L402:L405)</f>
        <v>200753.03999999998</v>
      </c>
      <c r="M401" s="93"/>
      <c r="N401" s="32"/>
      <c r="AI401" s="26" t="s">
        <v>77</v>
      </c>
      <c r="AS401" s="31">
        <f>SUM(AJ402:AJ405)</f>
        <v>0</v>
      </c>
      <c r="AT401" s="31">
        <f>SUM(AK402:AK405)</f>
        <v>0</v>
      </c>
      <c r="AU401" s="31">
        <f>SUM(AL402:AL405)</f>
        <v>0</v>
      </c>
    </row>
    <row r="402" spans="1:64" x14ac:dyDescent="0.2">
      <c r="A402" s="79" t="s">
        <v>261</v>
      </c>
      <c r="B402" s="79" t="s">
        <v>406</v>
      </c>
      <c r="C402" s="194" t="s">
        <v>773</v>
      </c>
      <c r="D402" s="195"/>
      <c r="E402" s="195"/>
      <c r="F402" s="79" t="s">
        <v>1050</v>
      </c>
      <c r="G402" s="80">
        <v>72.965000000000003</v>
      </c>
      <c r="H402" s="80">
        <v>0</v>
      </c>
      <c r="I402" s="80">
        <f>G402*AO402</f>
        <v>0</v>
      </c>
      <c r="J402" s="80">
        <f>G402*AP402</f>
        <v>0</v>
      </c>
      <c r="K402" s="80">
        <f>G402*H402</f>
        <v>0</v>
      </c>
      <c r="L402" s="80">
        <f>G402*402</f>
        <v>29331.93</v>
      </c>
      <c r="M402" s="94" t="s">
        <v>1067</v>
      </c>
      <c r="N402" s="32"/>
      <c r="Z402" s="11">
        <f>IF(AQ402="5",BJ402,0)</f>
        <v>0</v>
      </c>
      <c r="AB402" s="11">
        <f>IF(AQ402="1",BH402,0)</f>
        <v>0</v>
      </c>
      <c r="AC402" s="11">
        <f>IF(AQ402="1",BI402,0)</f>
        <v>0</v>
      </c>
      <c r="AD402" s="11">
        <f>IF(AQ402="7",BH402,0)</f>
        <v>0</v>
      </c>
      <c r="AE402" s="11">
        <f>IF(AQ402="7",BI402,0)</f>
        <v>0</v>
      </c>
      <c r="AF402" s="11">
        <f>IF(AQ402="2",BH402,0)</f>
        <v>0</v>
      </c>
      <c r="AG402" s="11">
        <f>IF(AQ402="2",BI402,0)</f>
        <v>0</v>
      </c>
      <c r="AH402" s="11">
        <f>IF(AQ402="0",BJ402,0)</f>
        <v>0</v>
      </c>
      <c r="AI402" s="26" t="s">
        <v>77</v>
      </c>
      <c r="AJ402" s="20">
        <f>IF(AN402=0,K402,0)</f>
        <v>0</v>
      </c>
      <c r="AK402" s="20">
        <f>IF(AN402=15,K402,0)</f>
        <v>0</v>
      </c>
      <c r="AL402" s="20">
        <f>IF(AN402=21,K402,0)</f>
        <v>0</v>
      </c>
      <c r="AN402" s="11">
        <v>21</v>
      </c>
      <c r="AO402" s="11">
        <f>H402*0.125179670977061</f>
        <v>0</v>
      </c>
      <c r="AP402" s="11">
        <f>H402*(1-0.125179670977061)</f>
        <v>0</v>
      </c>
      <c r="AQ402" s="27" t="s">
        <v>144</v>
      </c>
      <c r="AV402" s="11">
        <f>AW402+AX402</f>
        <v>0</v>
      </c>
      <c r="AW402" s="11">
        <f>G402*AO402</f>
        <v>0</v>
      </c>
      <c r="AX402" s="11">
        <f>G402*AP402</f>
        <v>0</v>
      </c>
      <c r="AY402" s="29" t="s">
        <v>1087</v>
      </c>
      <c r="AZ402" s="29" t="s">
        <v>1115</v>
      </c>
      <c r="BA402" s="26" t="s">
        <v>1129</v>
      </c>
      <c r="BB402" s="26" t="s">
        <v>1144</v>
      </c>
      <c r="BC402" s="11">
        <f>AW402+AX402</f>
        <v>0</v>
      </c>
      <c r="BD402" s="11">
        <f>H402/(100-BE402)*100</f>
        <v>0</v>
      </c>
      <c r="BE402" s="11">
        <v>0</v>
      </c>
      <c r="BF402" s="11">
        <f>L402</f>
        <v>29331.93</v>
      </c>
      <c r="BH402" s="20">
        <f>G402*AO402</f>
        <v>0</v>
      </c>
      <c r="BI402" s="20">
        <f>G402*AP402</f>
        <v>0</v>
      </c>
      <c r="BJ402" s="20">
        <f>G402*H402</f>
        <v>0</v>
      </c>
      <c r="BK402" s="20" t="s">
        <v>1164</v>
      </c>
      <c r="BL402" s="11">
        <v>784</v>
      </c>
    </row>
    <row r="403" spans="1:64" x14ac:dyDescent="0.2">
      <c r="A403" s="35"/>
      <c r="B403" s="36"/>
      <c r="C403" s="81" t="s">
        <v>737</v>
      </c>
      <c r="D403" s="36"/>
      <c r="E403" s="82" t="s">
        <v>952</v>
      </c>
      <c r="F403" s="36"/>
      <c r="G403" s="83">
        <v>42.965000000000003</v>
      </c>
      <c r="H403" s="36"/>
      <c r="I403" s="36"/>
      <c r="J403" s="36"/>
      <c r="K403" s="36"/>
      <c r="L403" s="36"/>
      <c r="M403" s="35"/>
      <c r="N403" s="32"/>
    </row>
    <row r="404" spans="1:64" x14ac:dyDescent="0.2">
      <c r="A404" s="35"/>
      <c r="B404" s="36"/>
      <c r="C404" s="81" t="s">
        <v>167</v>
      </c>
      <c r="D404" s="36"/>
      <c r="E404" s="82" t="s">
        <v>953</v>
      </c>
      <c r="F404" s="36"/>
      <c r="G404" s="83">
        <v>30</v>
      </c>
      <c r="H404" s="36"/>
      <c r="I404" s="36"/>
      <c r="J404" s="36"/>
      <c r="K404" s="36"/>
      <c r="L404" s="36"/>
      <c r="M404" s="35"/>
      <c r="N404" s="32"/>
    </row>
    <row r="405" spans="1:64" x14ac:dyDescent="0.2">
      <c r="A405" s="79" t="s">
        <v>262</v>
      </c>
      <c r="B405" s="79" t="s">
        <v>407</v>
      </c>
      <c r="C405" s="194" t="s">
        <v>646</v>
      </c>
      <c r="D405" s="195"/>
      <c r="E405" s="195"/>
      <c r="F405" s="79" t="s">
        <v>1050</v>
      </c>
      <c r="G405" s="80">
        <v>423.262</v>
      </c>
      <c r="H405" s="80">
        <v>0</v>
      </c>
      <c r="I405" s="80">
        <f>G405*AO405</f>
        <v>0</v>
      </c>
      <c r="J405" s="80">
        <f>G405*AP405</f>
        <v>0</v>
      </c>
      <c r="K405" s="80">
        <f>G405*H405</f>
        <v>0</v>
      </c>
      <c r="L405" s="80">
        <f>G405*405</f>
        <v>171421.11</v>
      </c>
      <c r="M405" s="94" t="s">
        <v>1066</v>
      </c>
      <c r="N405" s="32"/>
      <c r="Z405" s="11">
        <f>IF(AQ405="5",BJ405,0)</f>
        <v>0</v>
      </c>
      <c r="AB405" s="11">
        <f>IF(AQ405="1",BH405,0)</f>
        <v>0</v>
      </c>
      <c r="AC405" s="11">
        <f>IF(AQ405="1",BI405,0)</f>
        <v>0</v>
      </c>
      <c r="AD405" s="11">
        <f>IF(AQ405="7",BH405,0)</f>
        <v>0</v>
      </c>
      <c r="AE405" s="11">
        <f>IF(AQ405="7",BI405,0)</f>
        <v>0</v>
      </c>
      <c r="AF405" s="11">
        <f>IF(AQ405="2",BH405,0)</f>
        <v>0</v>
      </c>
      <c r="AG405" s="11">
        <f>IF(AQ405="2",BI405,0)</f>
        <v>0</v>
      </c>
      <c r="AH405" s="11">
        <f>IF(AQ405="0",BJ405,0)</f>
        <v>0</v>
      </c>
      <c r="AI405" s="26" t="s">
        <v>77</v>
      </c>
      <c r="AJ405" s="20">
        <f>IF(AN405=0,K405,0)</f>
        <v>0</v>
      </c>
      <c r="AK405" s="20">
        <f>IF(AN405=15,K405,0)</f>
        <v>0</v>
      </c>
      <c r="AL405" s="20">
        <f>IF(AN405=21,K405,0)</f>
        <v>0</v>
      </c>
      <c r="AN405" s="11">
        <v>21</v>
      </c>
      <c r="AO405" s="11">
        <f>H405*0.145612475171394</f>
        <v>0</v>
      </c>
      <c r="AP405" s="11">
        <f>H405*(1-0.145612475171394)</f>
        <v>0</v>
      </c>
      <c r="AQ405" s="27" t="s">
        <v>144</v>
      </c>
      <c r="AV405" s="11">
        <f>AW405+AX405</f>
        <v>0</v>
      </c>
      <c r="AW405" s="11">
        <f>G405*AO405</f>
        <v>0</v>
      </c>
      <c r="AX405" s="11">
        <f>G405*AP405</f>
        <v>0</v>
      </c>
      <c r="AY405" s="29" t="s">
        <v>1087</v>
      </c>
      <c r="AZ405" s="29" t="s">
        <v>1115</v>
      </c>
      <c r="BA405" s="26" t="s">
        <v>1129</v>
      </c>
      <c r="BB405" s="26" t="s">
        <v>1144</v>
      </c>
      <c r="BC405" s="11">
        <f>AW405+AX405</f>
        <v>0</v>
      </c>
      <c r="BD405" s="11">
        <f>H405/(100-BE405)*100</f>
        <v>0</v>
      </c>
      <c r="BE405" s="11">
        <v>0</v>
      </c>
      <c r="BF405" s="11">
        <f>L405</f>
        <v>171421.11</v>
      </c>
      <c r="BH405" s="20">
        <f>G405*AO405</f>
        <v>0</v>
      </c>
      <c r="BI405" s="20">
        <f>G405*AP405</f>
        <v>0</v>
      </c>
      <c r="BJ405" s="20">
        <f>G405*H405</f>
        <v>0</v>
      </c>
      <c r="BK405" s="20" t="s">
        <v>1164</v>
      </c>
      <c r="BL405" s="11">
        <v>784</v>
      </c>
    </row>
    <row r="406" spans="1:64" ht="25.7" customHeight="1" x14ac:dyDescent="0.2">
      <c r="A406" s="35"/>
      <c r="B406" s="86" t="s">
        <v>354</v>
      </c>
      <c r="C406" s="196" t="s">
        <v>647</v>
      </c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32"/>
    </row>
    <row r="407" spans="1:64" x14ac:dyDescent="0.2">
      <c r="A407" s="35"/>
      <c r="B407" s="36"/>
      <c r="C407" s="81" t="s">
        <v>774</v>
      </c>
      <c r="D407" s="36"/>
      <c r="E407" s="82" t="s">
        <v>954</v>
      </c>
      <c r="F407" s="36"/>
      <c r="G407" s="83">
        <v>129.15</v>
      </c>
      <c r="H407" s="36"/>
      <c r="I407" s="36"/>
      <c r="J407" s="36"/>
      <c r="K407" s="36"/>
      <c r="L407" s="36"/>
      <c r="M407" s="35"/>
      <c r="N407" s="32"/>
    </row>
    <row r="408" spans="1:64" x14ac:dyDescent="0.2">
      <c r="A408" s="35"/>
      <c r="B408" s="36"/>
      <c r="C408" s="81" t="s">
        <v>775</v>
      </c>
      <c r="D408" s="36"/>
      <c r="E408" s="82" t="s">
        <v>1003</v>
      </c>
      <c r="F408" s="36"/>
      <c r="G408" s="83">
        <v>44.8</v>
      </c>
      <c r="H408" s="36"/>
      <c r="I408" s="36"/>
      <c r="J408" s="36"/>
      <c r="K408" s="36"/>
      <c r="L408" s="36"/>
      <c r="M408" s="35"/>
      <c r="N408" s="32"/>
    </row>
    <row r="409" spans="1:64" x14ac:dyDescent="0.2">
      <c r="A409" s="35"/>
      <c r="B409" s="36"/>
      <c r="C409" s="81" t="s">
        <v>776</v>
      </c>
      <c r="D409" s="36"/>
      <c r="E409" s="82" t="s">
        <v>1004</v>
      </c>
      <c r="F409" s="36"/>
      <c r="G409" s="83">
        <v>50.792000000000002</v>
      </c>
      <c r="H409" s="36"/>
      <c r="I409" s="36"/>
      <c r="J409" s="36"/>
      <c r="K409" s="36"/>
      <c r="L409" s="36"/>
      <c r="M409" s="35"/>
      <c r="N409" s="32"/>
    </row>
    <row r="410" spans="1:64" x14ac:dyDescent="0.2">
      <c r="A410" s="35"/>
      <c r="B410" s="36"/>
      <c r="C410" s="81" t="s">
        <v>777</v>
      </c>
      <c r="D410" s="36"/>
      <c r="E410" s="82" t="s">
        <v>1005</v>
      </c>
      <c r="F410" s="36"/>
      <c r="G410" s="83">
        <v>54.095999999999997</v>
      </c>
      <c r="H410" s="36"/>
      <c r="I410" s="36"/>
      <c r="J410" s="36"/>
      <c r="K410" s="36"/>
      <c r="L410" s="36"/>
      <c r="M410" s="35"/>
      <c r="N410" s="32"/>
    </row>
    <row r="411" spans="1:64" x14ac:dyDescent="0.2">
      <c r="A411" s="35"/>
      <c r="B411" s="36"/>
      <c r="C411" s="81" t="s">
        <v>778</v>
      </c>
      <c r="D411" s="36"/>
      <c r="E411" s="82" t="s">
        <v>1006</v>
      </c>
      <c r="F411" s="36"/>
      <c r="G411" s="83">
        <v>58.015999999999998</v>
      </c>
      <c r="H411" s="36"/>
      <c r="I411" s="36"/>
      <c r="J411" s="36"/>
      <c r="K411" s="36"/>
      <c r="L411" s="36"/>
      <c r="M411" s="35"/>
      <c r="N411" s="32"/>
    </row>
    <row r="412" spans="1:64" x14ac:dyDescent="0.2">
      <c r="A412" s="35"/>
      <c r="B412" s="36"/>
      <c r="C412" s="81" t="s">
        <v>779</v>
      </c>
      <c r="D412" s="36"/>
      <c r="E412" s="82" t="s">
        <v>1007</v>
      </c>
      <c r="F412" s="36"/>
      <c r="G412" s="83">
        <v>25.367999999999999</v>
      </c>
      <c r="H412" s="36"/>
      <c r="I412" s="36"/>
      <c r="J412" s="36"/>
      <c r="K412" s="36"/>
      <c r="L412" s="36"/>
      <c r="M412" s="35"/>
      <c r="N412" s="32"/>
    </row>
    <row r="413" spans="1:64" x14ac:dyDescent="0.2">
      <c r="A413" s="35"/>
      <c r="B413" s="36"/>
      <c r="C413" s="81" t="s">
        <v>780</v>
      </c>
      <c r="D413" s="36"/>
      <c r="E413" s="82" t="s">
        <v>1008</v>
      </c>
      <c r="F413" s="36"/>
      <c r="G413" s="83">
        <v>61.04</v>
      </c>
      <c r="H413" s="36"/>
      <c r="I413" s="36"/>
      <c r="J413" s="36"/>
      <c r="K413" s="36"/>
      <c r="L413" s="36"/>
      <c r="M413" s="35"/>
      <c r="N413" s="32"/>
    </row>
    <row r="414" spans="1:64" x14ac:dyDescent="0.2">
      <c r="A414" s="77"/>
      <c r="B414" s="76" t="s">
        <v>95</v>
      </c>
      <c r="C414" s="204" t="s">
        <v>121</v>
      </c>
      <c r="D414" s="205"/>
      <c r="E414" s="205"/>
      <c r="F414" s="77" t="s">
        <v>60</v>
      </c>
      <c r="G414" s="77" t="s">
        <v>60</v>
      </c>
      <c r="H414" s="77" t="s">
        <v>60</v>
      </c>
      <c r="I414" s="78">
        <f>SUM(I415:I415)</f>
        <v>0</v>
      </c>
      <c r="J414" s="78">
        <f>SUM(J415:J415)</f>
        <v>0</v>
      </c>
      <c r="K414" s="78">
        <f>SUM(K415:K415)</f>
        <v>0</v>
      </c>
      <c r="L414" s="78">
        <f>SUM(L415:L415)</f>
        <v>53597.25</v>
      </c>
      <c r="M414" s="93"/>
      <c r="N414" s="32"/>
      <c r="AI414" s="26" t="s">
        <v>77</v>
      </c>
      <c r="AS414" s="31">
        <f>SUM(AJ415:AJ415)</f>
        <v>0</v>
      </c>
      <c r="AT414" s="31">
        <f>SUM(AK415:AK415)</f>
        <v>0</v>
      </c>
      <c r="AU414" s="31">
        <f>SUM(AL415:AL415)</f>
        <v>0</v>
      </c>
    </row>
    <row r="415" spans="1:64" x14ac:dyDescent="0.2">
      <c r="A415" s="79" t="s">
        <v>263</v>
      </c>
      <c r="B415" s="79" t="s">
        <v>408</v>
      </c>
      <c r="C415" s="194" t="s">
        <v>659</v>
      </c>
      <c r="D415" s="195"/>
      <c r="E415" s="195"/>
      <c r="F415" s="79" t="s">
        <v>1050</v>
      </c>
      <c r="G415" s="80">
        <v>129.15</v>
      </c>
      <c r="H415" s="80">
        <v>0</v>
      </c>
      <c r="I415" s="80">
        <f>G415*AO415</f>
        <v>0</v>
      </c>
      <c r="J415" s="80">
        <f>G415*AP415</f>
        <v>0</v>
      </c>
      <c r="K415" s="80">
        <f>G415*H415</f>
        <v>0</v>
      </c>
      <c r="L415" s="80">
        <f>G415*415</f>
        <v>53597.25</v>
      </c>
      <c r="M415" s="94" t="s">
        <v>1066</v>
      </c>
      <c r="N415" s="32"/>
      <c r="Z415" s="11">
        <f>IF(AQ415="5",BJ415,0)</f>
        <v>0</v>
      </c>
      <c r="AB415" s="11">
        <f>IF(AQ415="1",BH415,0)</f>
        <v>0</v>
      </c>
      <c r="AC415" s="11">
        <f>IF(AQ415="1",BI415,0)</f>
        <v>0</v>
      </c>
      <c r="AD415" s="11">
        <f>IF(AQ415="7",BH415,0)</f>
        <v>0</v>
      </c>
      <c r="AE415" s="11">
        <f>IF(AQ415="7",BI415,0)</f>
        <v>0</v>
      </c>
      <c r="AF415" s="11">
        <f>IF(AQ415="2",BH415,0)</f>
        <v>0</v>
      </c>
      <c r="AG415" s="11">
        <f>IF(AQ415="2",BI415,0)</f>
        <v>0</v>
      </c>
      <c r="AH415" s="11">
        <f>IF(AQ415="0",BJ415,0)</f>
        <v>0</v>
      </c>
      <c r="AI415" s="26" t="s">
        <v>77</v>
      </c>
      <c r="AJ415" s="20">
        <f>IF(AN415=0,K415,0)</f>
        <v>0</v>
      </c>
      <c r="AK415" s="20">
        <f>IF(AN415=15,K415,0)</f>
        <v>0</v>
      </c>
      <c r="AL415" s="20">
        <f>IF(AN415=21,K415,0)</f>
        <v>0</v>
      </c>
      <c r="AN415" s="11">
        <v>21</v>
      </c>
      <c r="AO415" s="11">
        <f>H415*0.012469631718561</f>
        <v>0</v>
      </c>
      <c r="AP415" s="11">
        <f>H415*(1-0.012469631718561)</f>
        <v>0</v>
      </c>
      <c r="AQ415" s="27" t="s">
        <v>138</v>
      </c>
      <c r="AV415" s="11">
        <f>AW415+AX415</f>
        <v>0</v>
      </c>
      <c r="AW415" s="11">
        <f>G415*AO415</f>
        <v>0</v>
      </c>
      <c r="AX415" s="11">
        <f>G415*AP415</f>
        <v>0</v>
      </c>
      <c r="AY415" s="29" t="s">
        <v>1088</v>
      </c>
      <c r="AZ415" s="29" t="s">
        <v>1116</v>
      </c>
      <c r="BA415" s="26" t="s">
        <v>1129</v>
      </c>
      <c r="BB415" s="26" t="s">
        <v>1145</v>
      </c>
      <c r="BC415" s="11">
        <f>AW415+AX415</f>
        <v>0</v>
      </c>
      <c r="BD415" s="11">
        <f>H415/(100-BE415)*100</f>
        <v>0</v>
      </c>
      <c r="BE415" s="11">
        <v>0</v>
      </c>
      <c r="BF415" s="11">
        <f>L415</f>
        <v>53597.25</v>
      </c>
      <c r="BH415" s="20">
        <f>G415*AO415</f>
        <v>0</v>
      </c>
      <c r="BI415" s="20">
        <f>G415*AP415</f>
        <v>0</v>
      </c>
      <c r="BJ415" s="20">
        <f>G415*H415</f>
        <v>0</v>
      </c>
      <c r="BK415" s="20" t="s">
        <v>1164</v>
      </c>
      <c r="BL415" s="11">
        <v>95</v>
      </c>
    </row>
    <row r="416" spans="1:64" x14ac:dyDescent="0.2">
      <c r="A416" s="35"/>
      <c r="B416" s="86" t="s">
        <v>354</v>
      </c>
      <c r="C416" s="196" t="s">
        <v>781</v>
      </c>
      <c r="D416" s="197"/>
      <c r="E416" s="197"/>
      <c r="F416" s="197"/>
      <c r="G416" s="197"/>
      <c r="H416" s="197"/>
      <c r="I416" s="197"/>
      <c r="J416" s="197"/>
      <c r="K416" s="197"/>
      <c r="L416" s="197"/>
      <c r="M416" s="197"/>
      <c r="N416" s="32"/>
    </row>
    <row r="417" spans="1:64" x14ac:dyDescent="0.2">
      <c r="A417" s="35"/>
      <c r="B417" s="36"/>
      <c r="C417" s="81" t="s">
        <v>782</v>
      </c>
      <c r="D417" s="36"/>
      <c r="E417" s="82" t="s">
        <v>926</v>
      </c>
      <c r="F417" s="36"/>
      <c r="G417" s="83">
        <v>129.15</v>
      </c>
      <c r="H417" s="36"/>
      <c r="I417" s="36"/>
      <c r="J417" s="36"/>
      <c r="K417" s="36"/>
      <c r="L417" s="36"/>
      <c r="M417" s="35"/>
      <c r="N417" s="32"/>
    </row>
    <row r="418" spans="1:64" x14ac:dyDescent="0.2">
      <c r="A418" s="77"/>
      <c r="B418" s="76" t="s">
        <v>96</v>
      </c>
      <c r="C418" s="204" t="s">
        <v>122</v>
      </c>
      <c r="D418" s="205"/>
      <c r="E418" s="205"/>
      <c r="F418" s="77" t="s">
        <v>60</v>
      </c>
      <c r="G418" s="77" t="s">
        <v>60</v>
      </c>
      <c r="H418" s="77" t="s">
        <v>60</v>
      </c>
      <c r="I418" s="78">
        <f>SUM(I419:I432)</f>
        <v>0</v>
      </c>
      <c r="J418" s="78">
        <f>SUM(J419:J432)</f>
        <v>0</v>
      </c>
      <c r="K418" s="78">
        <f>SUM(K419:K432)</f>
        <v>0</v>
      </c>
      <c r="L418" s="78">
        <f>SUM(L419:L432)</f>
        <v>18694.554</v>
      </c>
      <c r="M418" s="93"/>
      <c r="N418" s="32"/>
      <c r="AI418" s="26" t="s">
        <v>77</v>
      </c>
      <c r="AS418" s="31">
        <f>SUM(AJ419:AJ432)</f>
        <v>0</v>
      </c>
      <c r="AT418" s="31">
        <f>SUM(AK419:AK432)</f>
        <v>0</v>
      </c>
      <c r="AU418" s="31">
        <f>SUM(AL419:AL432)</f>
        <v>0</v>
      </c>
    </row>
    <row r="419" spans="1:64" x14ac:dyDescent="0.2">
      <c r="A419" s="79" t="s">
        <v>264</v>
      </c>
      <c r="B419" s="79" t="s">
        <v>409</v>
      </c>
      <c r="C419" s="194" t="s">
        <v>661</v>
      </c>
      <c r="D419" s="195"/>
      <c r="E419" s="195"/>
      <c r="F419" s="79" t="s">
        <v>1050</v>
      </c>
      <c r="G419" s="80">
        <v>1.98</v>
      </c>
      <c r="H419" s="80">
        <v>0</v>
      </c>
      <c r="I419" s="80">
        <f>G419*AO419</f>
        <v>0</v>
      </c>
      <c r="J419" s="80">
        <f>G419*AP419</f>
        <v>0</v>
      </c>
      <c r="K419" s="80">
        <f>G419*H419</f>
        <v>0</v>
      </c>
      <c r="L419" s="80">
        <f>G419*419</f>
        <v>829.62</v>
      </c>
      <c r="M419" s="94" t="s">
        <v>1066</v>
      </c>
      <c r="N419" s="32"/>
      <c r="Z419" s="11">
        <f>IF(AQ419="5",BJ419,0)</f>
        <v>0</v>
      </c>
      <c r="AB419" s="11">
        <f>IF(AQ419="1",BH419,0)</f>
        <v>0</v>
      </c>
      <c r="AC419" s="11">
        <f>IF(AQ419="1",BI419,0)</f>
        <v>0</v>
      </c>
      <c r="AD419" s="11">
        <f>IF(AQ419="7",BH419,0)</f>
        <v>0</v>
      </c>
      <c r="AE419" s="11">
        <f>IF(AQ419="7",BI419,0)</f>
        <v>0</v>
      </c>
      <c r="AF419" s="11">
        <f>IF(AQ419="2",BH419,0)</f>
        <v>0</v>
      </c>
      <c r="AG419" s="11">
        <f>IF(AQ419="2",BI419,0)</f>
        <v>0</v>
      </c>
      <c r="AH419" s="11">
        <f>IF(AQ419="0",BJ419,0)</f>
        <v>0</v>
      </c>
      <c r="AI419" s="26" t="s">
        <v>77</v>
      </c>
      <c r="AJ419" s="20">
        <f>IF(AN419=0,K419,0)</f>
        <v>0</v>
      </c>
      <c r="AK419" s="20">
        <f>IF(AN419=15,K419,0)</f>
        <v>0</v>
      </c>
      <c r="AL419" s="20">
        <f>IF(AN419=21,K419,0)</f>
        <v>0</v>
      </c>
      <c r="AN419" s="11">
        <v>21</v>
      </c>
      <c r="AO419" s="11">
        <f>H419*0</f>
        <v>0</v>
      </c>
      <c r="AP419" s="11">
        <f>H419*(1-0)</f>
        <v>0</v>
      </c>
      <c r="AQ419" s="27" t="s">
        <v>138</v>
      </c>
      <c r="AV419" s="11">
        <f>AW419+AX419</f>
        <v>0</v>
      </c>
      <c r="AW419" s="11">
        <f>G419*AO419</f>
        <v>0</v>
      </c>
      <c r="AX419" s="11">
        <f>G419*AP419</f>
        <v>0</v>
      </c>
      <c r="AY419" s="29" t="s">
        <v>1089</v>
      </c>
      <c r="AZ419" s="29" t="s">
        <v>1116</v>
      </c>
      <c r="BA419" s="26" t="s">
        <v>1129</v>
      </c>
      <c r="BB419" s="26" t="s">
        <v>1146</v>
      </c>
      <c r="BC419" s="11">
        <f>AW419+AX419</f>
        <v>0</v>
      </c>
      <c r="BD419" s="11">
        <f>H419/(100-BE419)*100</f>
        <v>0</v>
      </c>
      <c r="BE419" s="11">
        <v>0</v>
      </c>
      <c r="BF419" s="11">
        <f>L419</f>
        <v>829.62</v>
      </c>
      <c r="BH419" s="20">
        <f>G419*AO419</f>
        <v>0</v>
      </c>
      <c r="BI419" s="20">
        <f>G419*AP419</f>
        <v>0</v>
      </c>
      <c r="BJ419" s="20">
        <f>G419*H419</f>
        <v>0</v>
      </c>
      <c r="BK419" s="20" t="s">
        <v>1164</v>
      </c>
      <c r="BL419" s="11">
        <v>96</v>
      </c>
    </row>
    <row r="420" spans="1:64" x14ac:dyDescent="0.2">
      <c r="A420" s="35"/>
      <c r="B420" s="86" t="s">
        <v>354</v>
      </c>
      <c r="C420" s="196" t="s">
        <v>662</v>
      </c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32"/>
    </row>
    <row r="421" spans="1:64" x14ac:dyDescent="0.2">
      <c r="A421" s="35"/>
      <c r="B421" s="36"/>
      <c r="C421" s="81" t="s">
        <v>783</v>
      </c>
      <c r="D421" s="36"/>
      <c r="E421" s="82" t="s">
        <v>1009</v>
      </c>
      <c r="F421" s="36"/>
      <c r="G421" s="83">
        <v>1.98</v>
      </c>
      <c r="H421" s="36"/>
      <c r="I421" s="36"/>
      <c r="J421" s="36"/>
      <c r="K421" s="36"/>
      <c r="L421" s="36"/>
      <c r="M421" s="35"/>
      <c r="N421" s="32"/>
    </row>
    <row r="422" spans="1:64" x14ac:dyDescent="0.2">
      <c r="A422" s="79" t="s">
        <v>265</v>
      </c>
      <c r="B422" s="79" t="s">
        <v>410</v>
      </c>
      <c r="C422" s="194" t="s">
        <v>664</v>
      </c>
      <c r="D422" s="195"/>
      <c r="E422" s="195"/>
      <c r="F422" s="79" t="s">
        <v>1049</v>
      </c>
      <c r="G422" s="80">
        <v>9.9000000000000005E-2</v>
      </c>
      <c r="H422" s="80">
        <v>0</v>
      </c>
      <c r="I422" s="80">
        <f>G422*AO422</f>
        <v>0</v>
      </c>
      <c r="J422" s="80">
        <f>G422*AP422</f>
        <v>0</v>
      </c>
      <c r="K422" s="80">
        <f>G422*H422</f>
        <v>0</v>
      </c>
      <c r="L422" s="80">
        <f>G422*422</f>
        <v>41.777999999999999</v>
      </c>
      <c r="M422" s="94" t="s">
        <v>1066</v>
      </c>
      <c r="N422" s="32"/>
      <c r="Z422" s="11">
        <f>IF(AQ422="5",BJ422,0)</f>
        <v>0</v>
      </c>
      <c r="AB422" s="11">
        <f>IF(AQ422="1",BH422,0)</f>
        <v>0</v>
      </c>
      <c r="AC422" s="11">
        <f>IF(AQ422="1",BI422,0)</f>
        <v>0</v>
      </c>
      <c r="AD422" s="11">
        <f>IF(AQ422="7",BH422,0)</f>
        <v>0</v>
      </c>
      <c r="AE422" s="11">
        <f>IF(AQ422="7",BI422,0)</f>
        <v>0</v>
      </c>
      <c r="AF422" s="11">
        <f>IF(AQ422="2",BH422,0)</f>
        <v>0</v>
      </c>
      <c r="AG422" s="11">
        <f>IF(AQ422="2",BI422,0)</f>
        <v>0</v>
      </c>
      <c r="AH422" s="11">
        <f>IF(AQ422="0",BJ422,0)</f>
        <v>0</v>
      </c>
      <c r="AI422" s="26" t="s">
        <v>77</v>
      </c>
      <c r="AJ422" s="20">
        <f>IF(AN422=0,K422,0)</f>
        <v>0</v>
      </c>
      <c r="AK422" s="20">
        <f>IF(AN422=15,K422,0)</f>
        <v>0</v>
      </c>
      <c r="AL422" s="20">
        <f>IF(AN422=21,K422,0)</f>
        <v>0</v>
      </c>
      <c r="AN422" s="11">
        <v>21</v>
      </c>
      <c r="AO422" s="11">
        <f>H422*0</f>
        <v>0</v>
      </c>
      <c r="AP422" s="11">
        <f>H422*(1-0)</f>
        <v>0</v>
      </c>
      <c r="AQ422" s="27" t="s">
        <v>138</v>
      </c>
      <c r="AV422" s="11">
        <f>AW422+AX422</f>
        <v>0</v>
      </c>
      <c r="AW422" s="11">
        <f>G422*AO422</f>
        <v>0</v>
      </c>
      <c r="AX422" s="11">
        <f>G422*AP422</f>
        <v>0</v>
      </c>
      <c r="AY422" s="29" t="s">
        <v>1089</v>
      </c>
      <c r="AZ422" s="29" t="s">
        <v>1116</v>
      </c>
      <c r="BA422" s="26" t="s">
        <v>1129</v>
      </c>
      <c r="BB422" s="26" t="s">
        <v>1146</v>
      </c>
      <c r="BC422" s="11">
        <f>AW422+AX422</f>
        <v>0</v>
      </c>
      <c r="BD422" s="11">
        <f>H422/(100-BE422)*100</f>
        <v>0</v>
      </c>
      <c r="BE422" s="11">
        <v>0</v>
      </c>
      <c r="BF422" s="11">
        <f>L422</f>
        <v>41.777999999999999</v>
      </c>
      <c r="BH422" s="20">
        <f>G422*AO422</f>
        <v>0</v>
      </c>
      <c r="BI422" s="20">
        <f>G422*AP422</f>
        <v>0</v>
      </c>
      <c r="BJ422" s="20">
        <f>G422*H422</f>
        <v>0</v>
      </c>
      <c r="BK422" s="20" t="s">
        <v>1164</v>
      </c>
      <c r="BL422" s="11">
        <v>96</v>
      </c>
    </row>
    <row r="423" spans="1:64" x14ac:dyDescent="0.2">
      <c r="A423" s="35"/>
      <c r="B423" s="86" t="s">
        <v>354</v>
      </c>
      <c r="C423" s="196" t="s">
        <v>665</v>
      </c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32"/>
    </row>
    <row r="424" spans="1:64" x14ac:dyDescent="0.2">
      <c r="A424" s="35"/>
      <c r="B424" s="36"/>
      <c r="C424" s="81" t="s">
        <v>784</v>
      </c>
      <c r="D424" s="36"/>
      <c r="E424" s="82" t="s">
        <v>966</v>
      </c>
      <c r="F424" s="36"/>
      <c r="G424" s="83">
        <v>9.9000000000000005E-2</v>
      </c>
      <c r="H424" s="36"/>
      <c r="I424" s="36"/>
      <c r="J424" s="36"/>
      <c r="K424" s="36"/>
      <c r="L424" s="36"/>
      <c r="M424" s="35"/>
      <c r="N424" s="32"/>
    </row>
    <row r="425" spans="1:64" x14ac:dyDescent="0.2">
      <c r="A425" s="79" t="s">
        <v>266</v>
      </c>
      <c r="B425" s="79" t="s">
        <v>412</v>
      </c>
      <c r="C425" s="194" t="s">
        <v>670</v>
      </c>
      <c r="D425" s="195"/>
      <c r="E425" s="195"/>
      <c r="F425" s="79" t="s">
        <v>1050</v>
      </c>
      <c r="G425" s="80">
        <v>1.044</v>
      </c>
      <c r="H425" s="80">
        <v>0</v>
      </c>
      <c r="I425" s="80">
        <f>G425*AO425</f>
        <v>0</v>
      </c>
      <c r="J425" s="80">
        <f>G425*AP425</f>
        <v>0</v>
      </c>
      <c r="K425" s="80">
        <f>G425*H425</f>
        <v>0</v>
      </c>
      <c r="L425" s="80">
        <f>G425*425</f>
        <v>443.7</v>
      </c>
      <c r="M425" s="94" t="s">
        <v>1066</v>
      </c>
      <c r="N425" s="32"/>
      <c r="Z425" s="11">
        <f>IF(AQ425="5",BJ425,0)</f>
        <v>0</v>
      </c>
      <c r="AB425" s="11">
        <f>IF(AQ425="1",BH425,0)</f>
        <v>0</v>
      </c>
      <c r="AC425" s="11">
        <f>IF(AQ425="1",BI425,0)</f>
        <v>0</v>
      </c>
      <c r="AD425" s="11">
        <f>IF(AQ425="7",BH425,0)</f>
        <v>0</v>
      </c>
      <c r="AE425" s="11">
        <f>IF(AQ425="7",BI425,0)</f>
        <v>0</v>
      </c>
      <c r="AF425" s="11">
        <f>IF(AQ425="2",BH425,0)</f>
        <v>0</v>
      </c>
      <c r="AG425" s="11">
        <f>IF(AQ425="2",BI425,0)</f>
        <v>0</v>
      </c>
      <c r="AH425" s="11">
        <f>IF(AQ425="0",BJ425,0)</f>
        <v>0</v>
      </c>
      <c r="AI425" s="26" t="s">
        <v>77</v>
      </c>
      <c r="AJ425" s="20">
        <f>IF(AN425=0,K425,0)</f>
        <v>0</v>
      </c>
      <c r="AK425" s="20">
        <f>IF(AN425=15,K425,0)</f>
        <v>0</v>
      </c>
      <c r="AL425" s="20">
        <f>IF(AN425=21,K425,0)</f>
        <v>0</v>
      </c>
      <c r="AN425" s="11">
        <v>21</v>
      </c>
      <c r="AO425" s="11">
        <f>H425*0.217464241037921</f>
        <v>0</v>
      </c>
      <c r="AP425" s="11">
        <f>H425*(1-0.217464241037921)</f>
        <v>0</v>
      </c>
      <c r="AQ425" s="27" t="s">
        <v>138</v>
      </c>
      <c r="AV425" s="11">
        <f>AW425+AX425</f>
        <v>0</v>
      </c>
      <c r="AW425" s="11">
        <f>G425*AO425</f>
        <v>0</v>
      </c>
      <c r="AX425" s="11">
        <f>G425*AP425</f>
        <v>0</v>
      </c>
      <c r="AY425" s="29" t="s">
        <v>1089</v>
      </c>
      <c r="AZ425" s="29" t="s">
        <v>1116</v>
      </c>
      <c r="BA425" s="26" t="s">
        <v>1129</v>
      </c>
      <c r="BB425" s="26" t="s">
        <v>1146</v>
      </c>
      <c r="BC425" s="11">
        <f>AW425+AX425</f>
        <v>0</v>
      </c>
      <c r="BD425" s="11">
        <f>H425/(100-BE425)*100</f>
        <v>0</v>
      </c>
      <c r="BE425" s="11">
        <v>0</v>
      </c>
      <c r="BF425" s="11">
        <f>L425</f>
        <v>443.7</v>
      </c>
      <c r="BH425" s="20">
        <f>G425*AO425</f>
        <v>0</v>
      </c>
      <c r="BI425" s="20">
        <f>G425*AP425</f>
        <v>0</v>
      </c>
      <c r="BJ425" s="20">
        <f>G425*H425</f>
        <v>0</v>
      </c>
      <c r="BK425" s="20" t="s">
        <v>1164</v>
      </c>
      <c r="BL425" s="11">
        <v>96</v>
      </c>
    </row>
    <row r="426" spans="1:64" x14ac:dyDescent="0.2">
      <c r="A426" s="35"/>
      <c r="B426" s="86" t="s">
        <v>354</v>
      </c>
      <c r="C426" s="196" t="s">
        <v>671</v>
      </c>
      <c r="D426" s="197"/>
      <c r="E426" s="197"/>
      <c r="F426" s="197"/>
      <c r="G426" s="197"/>
      <c r="H426" s="197"/>
      <c r="I426" s="197"/>
      <c r="J426" s="197"/>
      <c r="K426" s="197"/>
      <c r="L426" s="197"/>
      <c r="M426" s="197"/>
      <c r="N426" s="32"/>
    </row>
    <row r="427" spans="1:64" x14ac:dyDescent="0.2">
      <c r="A427" s="35"/>
      <c r="B427" s="36"/>
      <c r="C427" s="81" t="s">
        <v>717</v>
      </c>
      <c r="D427" s="36"/>
      <c r="E427" s="82" t="s">
        <v>1010</v>
      </c>
      <c r="F427" s="36"/>
      <c r="G427" s="83">
        <v>1.044</v>
      </c>
      <c r="H427" s="36"/>
      <c r="I427" s="36"/>
      <c r="J427" s="36"/>
      <c r="K427" s="36"/>
      <c r="L427" s="36"/>
      <c r="M427" s="35"/>
      <c r="N427" s="32"/>
    </row>
    <row r="428" spans="1:64" x14ac:dyDescent="0.2">
      <c r="A428" s="79" t="s">
        <v>267</v>
      </c>
      <c r="B428" s="79" t="s">
        <v>413</v>
      </c>
      <c r="C428" s="194" t="s">
        <v>673</v>
      </c>
      <c r="D428" s="195"/>
      <c r="E428" s="195"/>
      <c r="F428" s="79" t="s">
        <v>1047</v>
      </c>
      <c r="G428" s="80">
        <v>6</v>
      </c>
      <c r="H428" s="80">
        <v>0</v>
      </c>
      <c r="I428" s="80">
        <f>G428*AO428</f>
        <v>0</v>
      </c>
      <c r="J428" s="80">
        <f>G428*AP428</f>
        <v>0</v>
      </c>
      <c r="K428" s="80">
        <f>G428*H428</f>
        <v>0</v>
      </c>
      <c r="L428" s="80">
        <f>G428*428</f>
        <v>2568</v>
      </c>
      <c r="M428" s="94" t="s">
        <v>1066</v>
      </c>
      <c r="N428" s="32"/>
      <c r="Z428" s="11">
        <f>IF(AQ428="5",BJ428,0)</f>
        <v>0</v>
      </c>
      <c r="AB428" s="11">
        <f>IF(AQ428="1",BH428,0)</f>
        <v>0</v>
      </c>
      <c r="AC428" s="11">
        <f>IF(AQ428="1",BI428,0)</f>
        <v>0</v>
      </c>
      <c r="AD428" s="11">
        <f>IF(AQ428="7",BH428,0)</f>
        <v>0</v>
      </c>
      <c r="AE428" s="11">
        <f>IF(AQ428="7",BI428,0)</f>
        <v>0</v>
      </c>
      <c r="AF428" s="11">
        <f>IF(AQ428="2",BH428,0)</f>
        <v>0</v>
      </c>
      <c r="AG428" s="11">
        <f>IF(AQ428="2",BI428,0)</f>
        <v>0</v>
      </c>
      <c r="AH428" s="11">
        <f>IF(AQ428="0",BJ428,0)</f>
        <v>0</v>
      </c>
      <c r="AI428" s="26" t="s">
        <v>77</v>
      </c>
      <c r="AJ428" s="20">
        <f>IF(AN428=0,K428,0)</f>
        <v>0</v>
      </c>
      <c r="AK428" s="20">
        <f>IF(AN428=15,K428,0)</f>
        <v>0</v>
      </c>
      <c r="AL428" s="20">
        <f>IF(AN428=21,K428,0)</f>
        <v>0</v>
      </c>
      <c r="AN428" s="11">
        <v>21</v>
      </c>
      <c r="AO428" s="11">
        <f>H428*0</f>
        <v>0</v>
      </c>
      <c r="AP428" s="11">
        <f>H428*(1-0)</f>
        <v>0</v>
      </c>
      <c r="AQ428" s="27" t="s">
        <v>138</v>
      </c>
      <c r="AV428" s="11">
        <f>AW428+AX428</f>
        <v>0</v>
      </c>
      <c r="AW428" s="11">
        <f>G428*AO428</f>
        <v>0</v>
      </c>
      <c r="AX428" s="11">
        <f>G428*AP428</f>
        <v>0</v>
      </c>
      <c r="AY428" s="29" t="s">
        <v>1089</v>
      </c>
      <c r="AZ428" s="29" t="s">
        <v>1116</v>
      </c>
      <c r="BA428" s="26" t="s">
        <v>1129</v>
      </c>
      <c r="BB428" s="26" t="s">
        <v>1146</v>
      </c>
      <c r="BC428" s="11">
        <f>AW428+AX428</f>
        <v>0</v>
      </c>
      <c r="BD428" s="11">
        <f>H428/(100-BE428)*100</f>
        <v>0</v>
      </c>
      <c r="BE428" s="11">
        <v>0</v>
      </c>
      <c r="BF428" s="11">
        <f>L428</f>
        <v>2568</v>
      </c>
      <c r="BH428" s="20">
        <f>G428*AO428</f>
        <v>0</v>
      </c>
      <c r="BI428" s="20">
        <f>G428*AP428</f>
        <v>0</v>
      </c>
      <c r="BJ428" s="20">
        <f>G428*H428</f>
        <v>0</v>
      </c>
      <c r="BK428" s="20" t="s">
        <v>1164</v>
      </c>
      <c r="BL428" s="11">
        <v>96</v>
      </c>
    </row>
    <row r="429" spans="1:64" x14ac:dyDescent="0.2">
      <c r="A429" s="35"/>
      <c r="B429" s="36"/>
      <c r="C429" s="81" t="s">
        <v>143</v>
      </c>
      <c r="D429" s="36"/>
      <c r="E429" s="82" t="s">
        <v>1011</v>
      </c>
      <c r="F429" s="36"/>
      <c r="G429" s="83">
        <v>6</v>
      </c>
      <c r="H429" s="36"/>
      <c r="I429" s="36"/>
      <c r="J429" s="36"/>
      <c r="K429" s="36"/>
      <c r="L429" s="36"/>
      <c r="M429" s="35"/>
      <c r="N429" s="32"/>
    </row>
    <row r="430" spans="1:64" x14ac:dyDescent="0.2">
      <c r="A430" s="79" t="s">
        <v>268</v>
      </c>
      <c r="B430" s="79" t="s">
        <v>414</v>
      </c>
      <c r="C430" s="194" t="s">
        <v>675</v>
      </c>
      <c r="D430" s="195"/>
      <c r="E430" s="195"/>
      <c r="F430" s="79" t="s">
        <v>1050</v>
      </c>
      <c r="G430" s="80">
        <v>4.8</v>
      </c>
      <c r="H430" s="80">
        <v>0</v>
      </c>
      <c r="I430" s="80">
        <f>G430*AO430</f>
        <v>0</v>
      </c>
      <c r="J430" s="80">
        <f>G430*AP430</f>
        <v>0</v>
      </c>
      <c r="K430" s="80">
        <f>G430*H430</f>
        <v>0</v>
      </c>
      <c r="L430" s="80">
        <f>G430*430</f>
        <v>2064</v>
      </c>
      <c r="M430" s="94" t="s">
        <v>1066</v>
      </c>
      <c r="N430" s="32"/>
      <c r="Z430" s="11">
        <f>IF(AQ430="5",BJ430,0)</f>
        <v>0</v>
      </c>
      <c r="AB430" s="11">
        <f>IF(AQ430="1",BH430,0)</f>
        <v>0</v>
      </c>
      <c r="AC430" s="11">
        <f>IF(AQ430="1",BI430,0)</f>
        <v>0</v>
      </c>
      <c r="AD430" s="11">
        <f>IF(AQ430="7",BH430,0)</f>
        <v>0</v>
      </c>
      <c r="AE430" s="11">
        <f>IF(AQ430="7",BI430,0)</f>
        <v>0</v>
      </c>
      <c r="AF430" s="11">
        <f>IF(AQ430="2",BH430,0)</f>
        <v>0</v>
      </c>
      <c r="AG430" s="11">
        <f>IF(AQ430="2",BI430,0)</f>
        <v>0</v>
      </c>
      <c r="AH430" s="11">
        <f>IF(AQ430="0",BJ430,0)</f>
        <v>0</v>
      </c>
      <c r="AI430" s="26" t="s">
        <v>77</v>
      </c>
      <c r="AJ430" s="20">
        <f>IF(AN430=0,K430,0)</f>
        <v>0</v>
      </c>
      <c r="AK430" s="20">
        <f>IF(AN430=15,K430,0)</f>
        <v>0</v>
      </c>
      <c r="AL430" s="20">
        <f>IF(AN430=21,K430,0)</f>
        <v>0</v>
      </c>
      <c r="AN430" s="11">
        <v>21</v>
      </c>
      <c r="AO430" s="11">
        <f>H430*0.0780175658720201</f>
        <v>0</v>
      </c>
      <c r="AP430" s="11">
        <f>H430*(1-0.0780175658720201)</f>
        <v>0</v>
      </c>
      <c r="AQ430" s="27" t="s">
        <v>138</v>
      </c>
      <c r="AV430" s="11">
        <f>AW430+AX430</f>
        <v>0</v>
      </c>
      <c r="AW430" s="11">
        <f>G430*AO430</f>
        <v>0</v>
      </c>
      <c r="AX430" s="11">
        <f>G430*AP430</f>
        <v>0</v>
      </c>
      <c r="AY430" s="29" t="s">
        <v>1089</v>
      </c>
      <c r="AZ430" s="29" t="s">
        <v>1116</v>
      </c>
      <c r="BA430" s="26" t="s">
        <v>1129</v>
      </c>
      <c r="BB430" s="26" t="s">
        <v>1146</v>
      </c>
      <c r="BC430" s="11">
        <f>AW430+AX430</f>
        <v>0</v>
      </c>
      <c r="BD430" s="11">
        <f>H430/(100-BE430)*100</f>
        <v>0</v>
      </c>
      <c r="BE430" s="11">
        <v>0</v>
      </c>
      <c r="BF430" s="11">
        <f>L430</f>
        <v>2064</v>
      </c>
      <c r="BH430" s="20">
        <f>G430*AO430</f>
        <v>0</v>
      </c>
      <c r="BI430" s="20">
        <f>G430*AP430</f>
        <v>0</v>
      </c>
      <c r="BJ430" s="20">
        <f>G430*H430</f>
        <v>0</v>
      </c>
      <c r="BK430" s="20" t="s">
        <v>1164</v>
      </c>
      <c r="BL430" s="11">
        <v>96</v>
      </c>
    </row>
    <row r="431" spans="1:64" x14ac:dyDescent="0.2">
      <c r="A431" s="35"/>
      <c r="B431" s="36"/>
      <c r="C431" s="81" t="s">
        <v>677</v>
      </c>
      <c r="D431" s="36"/>
      <c r="E431" s="82" t="s">
        <v>972</v>
      </c>
      <c r="F431" s="36"/>
      <c r="G431" s="83">
        <v>4.8</v>
      </c>
      <c r="H431" s="36"/>
      <c r="I431" s="36"/>
      <c r="J431" s="36"/>
      <c r="K431" s="36"/>
      <c r="L431" s="36"/>
      <c r="M431" s="35"/>
      <c r="N431" s="32"/>
    </row>
    <row r="432" spans="1:64" x14ac:dyDescent="0.2">
      <c r="A432" s="79" t="s">
        <v>269</v>
      </c>
      <c r="B432" s="79" t="s">
        <v>415</v>
      </c>
      <c r="C432" s="194" t="s">
        <v>679</v>
      </c>
      <c r="D432" s="195"/>
      <c r="E432" s="195"/>
      <c r="F432" s="79" t="s">
        <v>1050</v>
      </c>
      <c r="G432" s="80">
        <v>29.507999999999999</v>
      </c>
      <c r="H432" s="80">
        <v>0</v>
      </c>
      <c r="I432" s="80">
        <f>G432*AO432</f>
        <v>0</v>
      </c>
      <c r="J432" s="80">
        <f>G432*AP432</f>
        <v>0</v>
      </c>
      <c r="K432" s="80">
        <f>G432*H432</f>
        <v>0</v>
      </c>
      <c r="L432" s="80">
        <f>G432*432</f>
        <v>12747.456</v>
      </c>
      <c r="M432" s="94" t="s">
        <v>1066</v>
      </c>
      <c r="N432" s="32"/>
      <c r="Z432" s="11">
        <f>IF(AQ432="5",BJ432,0)</f>
        <v>0</v>
      </c>
      <c r="AB432" s="11">
        <f>IF(AQ432="1",BH432,0)</f>
        <v>0</v>
      </c>
      <c r="AC432" s="11">
        <f>IF(AQ432="1",BI432,0)</f>
        <v>0</v>
      </c>
      <c r="AD432" s="11">
        <f>IF(AQ432="7",BH432,0)</f>
        <v>0</v>
      </c>
      <c r="AE432" s="11">
        <f>IF(AQ432="7",BI432,0)</f>
        <v>0</v>
      </c>
      <c r="AF432" s="11">
        <f>IF(AQ432="2",BH432,0)</f>
        <v>0</v>
      </c>
      <c r="AG432" s="11">
        <f>IF(AQ432="2",BI432,0)</f>
        <v>0</v>
      </c>
      <c r="AH432" s="11">
        <f>IF(AQ432="0",BJ432,0)</f>
        <v>0</v>
      </c>
      <c r="AI432" s="26" t="s">
        <v>77</v>
      </c>
      <c r="AJ432" s="20">
        <f>IF(AN432=0,K432,0)</f>
        <v>0</v>
      </c>
      <c r="AK432" s="20">
        <f>IF(AN432=15,K432,0)</f>
        <v>0</v>
      </c>
      <c r="AL432" s="20">
        <f>IF(AN432=21,K432,0)</f>
        <v>0</v>
      </c>
      <c r="AN432" s="11">
        <v>21</v>
      </c>
      <c r="AO432" s="11">
        <f>H432*0.104621510620548</f>
        <v>0</v>
      </c>
      <c r="AP432" s="11">
        <f>H432*(1-0.104621510620548)</f>
        <v>0</v>
      </c>
      <c r="AQ432" s="27" t="s">
        <v>138</v>
      </c>
      <c r="AV432" s="11">
        <f>AW432+AX432</f>
        <v>0</v>
      </c>
      <c r="AW432" s="11">
        <f>G432*AO432</f>
        <v>0</v>
      </c>
      <c r="AX432" s="11">
        <f>G432*AP432</f>
        <v>0</v>
      </c>
      <c r="AY432" s="29" t="s">
        <v>1089</v>
      </c>
      <c r="AZ432" s="29" t="s">
        <v>1116</v>
      </c>
      <c r="BA432" s="26" t="s">
        <v>1129</v>
      </c>
      <c r="BB432" s="26" t="s">
        <v>1146</v>
      </c>
      <c r="BC432" s="11">
        <f>AW432+AX432</f>
        <v>0</v>
      </c>
      <c r="BD432" s="11">
        <f>H432/(100-BE432)*100</f>
        <v>0</v>
      </c>
      <c r="BE432" s="11">
        <v>0</v>
      </c>
      <c r="BF432" s="11">
        <f>L432</f>
        <v>12747.456</v>
      </c>
      <c r="BH432" s="20">
        <f>G432*AO432</f>
        <v>0</v>
      </c>
      <c r="BI432" s="20">
        <f>G432*AP432</f>
        <v>0</v>
      </c>
      <c r="BJ432" s="20">
        <f>G432*H432</f>
        <v>0</v>
      </c>
      <c r="BK432" s="20" t="s">
        <v>1164</v>
      </c>
      <c r="BL432" s="11">
        <v>96</v>
      </c>
    </row>
    <row r="433" spans="1:64" x14ac:dyDescent="0.2">
      <c r="A433" s="35"/>
      <c r="B433" s="36"/>
      <c r="C433" s="81" t="s">
        <v>785</v>
      </c>
      <c r="D433" s="36"/>
      <c r="E433" s="82" t="s">
        <v>1012</v>
      </c>
      <c r="F433" s="36"/>
      <c r="G433" s="83">
        <v>36.707999999999998</v>
      </c>
      <c r="H433" s="36"/>
      <c r="I433" s="36"/>
      <c r="J433" s="36"/>
      <c r="K433" s="36"/>
      <c r="L433" s="36"/>
      <c r="M433" s="35"/>
      <c r="N433" s="32"/>
    </row>
    <row r="434" spans="1:64" x14ac:dyDescent="0.2">
      <c r="A434" s="35"/>
      <c r="B434" s="36"/>
      <c r="C434" s="81" t="s">
        <v>786</v>
      </c>
      <c r="D434" s="36"/>
      <c r="E434" s="82" t="s">
        <v>976</v>
      </c>
      <c r="F434" s="36"/>
      <c r="G434" s="83">
        <v>-7.2</v>
      </c>
      <c r="H434" s="36"/>
      <c r="I434" s="36"/>
      <c r="J434" s="36"/>
      <c r="K434" s="36"/>
      <c r="L434" s="36"/>
      <c r="M434" s="35"/>
      <c r="N434" s="32"/>
    </row>
    <row r="435" spans="1:64" x14ac:dyDescent="0.2">
      <c r="A435" s="77"/>
      <c r="B435" s="76" t="s">
        <v>97</v>
      </c>
      <c r="C435" s="204" t="s">
        <v>123</v>
      </c>
      <c r="D435" s="205"/>
      <c r="E435" s="205"/>
      <c r="F435" s="77" t="s">
        <v>60</v>
      </c>
      <c r="G435" s="77" t="s">
        <v>60</v>
      </c>
      <c r="H435" s="77" t="s">
        <v>60</v>
      </c>
      <c r="I435" s="78">
        <f>SUM(I436:I445)</f>
        <v>0</v>
      </c>
      <c r="J435" s="78">
        <f>SUM(J436:J445)</f>
        <v>0</v>
      </c>
      <c r="K435" s="78">
        <f>SUM(K436:K445)</f>
        <v>0</v>
      </c>
      <c r="L435" s="78">
        <f>SUM(L436:L445)</f>
        <v>10402.5605</v>
      </c>
      <c r="M435" s="93"/>
      <c r="N435" s="32"/>
      <c r="AI435" s="26" t="s">
        <v>77</v>
      </c>
      <c r="AS435" s="31">
        <f>SUM(AJ436:AJ445)</f>
        <v>0</v>
      </c>
      <c r="AT435" s="31">
        <f>SUM(AK436:AK445)</f>
        <v>0</v>
      </c>
      <c r="AU435" s="31">
        <f>SUM(AL436:AL445)</f>
        <v>0</v>
      </c>
    </row>
    <row r="436" spans="1:64" x14ac:dyDescent="0.2">
      <c r="A436" s="79" t="s">
        <v>270</v>
      </c>
      <c r="B436" s="79" t="s">
        <v>417</v>
      </c>
      <c r="C436" s="194" t="s">
        <v>685</v>
      </c>
      <c r="D436" s="195"/>
      <c r="E436" s="195"/>
      <c r="F436" s="79" t="s">
        <v>1050</v>
      </c>
      <c r="G436" s="80">
        <v>13.8</v>
      </c>
      <c r="H436" s="80">
        <v>0</v>
      </c>
      <c r="I436" s="80">
        <f>G436*AO436</f>
        <v>0</v>
      </c>
      <c r="J436" s="80">
        <f>G436*AP436</f>
        <v>0</v>
      </c>
      <c r="K436" s="80">
        <f>G436*H436</f>
        <v>0</v>
      </c>
      <c r="L436" s="80">
        <f>G436*436</f>
        <v>6016.8</v>
      </c>
      <c r="M436" s="94" t="s">
        <v>1066</v>
      </c>
      <c r="N436" s="32"/>
      <c r="Z436" s="11">
        <f>IF(AQ436="5",BJ436,0)</f>
        <v>0</v>
      </c>
      <c r="AB436" s="11">
        <f>IF(AQ436="1",BH436,0)</f>
        <v>0</v>
      </c>
      <c r="AC436" s="11">
        <f>IF(AQ436="1",BI436,0)</f>
        <v>0</v>
      </c>
      <c r="AD436" s="11">
        <f>IF(AQ436="7",BH436,0)</f>
        <v>0</v>
      </c>
      <c r="AE436" s="11">
        <f>IF(AQ436="7",BI436,0)</f>
        <v>0</v>
      </c>
      <c r="AF436" s="11">
        <f>IF(AQ436="2",BH436,0)</f>
        <v>0</v>
      </c>
      <c r="AG436" s="11">
        <f>IF(AQ436="2",BI436,0)</f>
        <v>0</v>
      </c>
      <c r="AH436" s="11">
        <f>IF(AQ436="0",BJ436,0)</f>
        <v>0</v>
      </c>
      <c r="AI436" s="26" t="s">
        <v>77</v>
      </c>
      <c r="AJ436" s="20">
        <f>IF(AN436=0,K436,0)</f>
        <v>0</v>
      </c>
      <c r="AK436" s="20">
        <f>IF(AN436=15,K436,0)</f>
        <v>0</v>
      </c>
      <c r="AL436" s="20">
        <f>IF(AN436=21,K436,0)</f>
        <v>0</v>
      </c>
      <c r="AN436" s="11">
        <v>21</v>
      </c>
      <c r="AO436" s="11">
        <f>H436*0</f>
        <v>0</v>
      </c>
      <c r="AP436" s="11">
        <f>H436*(1-0)</f>
        <v>0</v>
      </c>
      <c r="AQ436" s="27" t="s">
        <v>138</v>
      </c>
      <c r="AV436" s="11">
        <f>AW436+AX436</f>
        <v>0</v>
      </c>
      <c r="AW436" s="11">
        <f>G436*AO436</f>
        <v>0</v>
      </c>
      <c r="AX436" s="11">
        <f>G436*AP436</f>
        <v>0</v>
      </c>
      <c r="AY436" s="29" t="s">
        <v>1090</v>
      </c>
      <c r="AZ436" s="29" t="s">
        <v>1116</v>
      </c>
      <c r="BA436" s="26" t="s">
        <v>1129</v>
      </c>
      <c r="BB436" s="26" t="s">
        <v>1147</v>
      </c>
      <c r="BC436" s="11">
        <f>AW436+AX436</f>
        <v>0</v>
      </c>
      <c r="BD436" s="11">
        <f>H436/(100-BE436)*100</f>
        <v>0</v>
      </c>
      <c r="BE436" s="11">
        <v>0</v>
      </c>
      <c r="BF436" s="11">
        <f>L436</f>
        <v>6016.8</v>
      </c>
      <c r="BH436" s="20">
        <f>G436*AO436</f>
        <v>0</v>
      </c>
      <c r="BI436" s="20">
        <f>G436*AP436</f>
        <v>0</v>
      </c>
      <c r="BJ436" s="20">
        <f>G436*H436</f>
        <v>0</v>
      </c>
      <c r="BK436" s="20" t="s">
        <v>1164</v>
      </c>
      <c r="BL436" s="11">
        <v>97</v>
      </c>
    </row>
    <row r="437" spans="1:64" x14ac:dyDescent="0.2">
      <c r="A437" s="35"/>
      <c r="B437" s="36"/>
      <c r="C437" s="81" t="s">
        <v>787</v>
      </c>
      <c r="D437" s="36"/>
      <c r="E437" s="82" t="s">
        <v>1013</v>
      </c>
      <c r="F437" s="36"/>
      <c r="G437" s="83">
        <v>15.6</v>
      </c>
      <c r="H437" s="36"/>
      <c r="I437" s="36"/>
      <c r="J437" s="36"/>
      <c r="K437" s="36"/>
      <c r="L437" s="36"/>
      <c r="M437" s="35"/>
      <c r="N437" s="32"/>
    </row>
    <row r="438" spans="1:64" x14ac:dyDescent="0.2">
      <c r="A438" s="35"/>
      <c r="B438" s="36"/>
      <c r="C438" s="81" t="s">
        <v>788</v>
      </c>
      <c r="D438" s="36"/>
      <c r="E438" s="82" t="s">
        <v>948</v>
      </c>
      <c r="F438" s="36"/>
      <c r="G438" s="83">
        <v>-1.8</v>
      </c>
      <c r="H438" s="36"/>
      <c r="I438" s="36"/>
      <c r="J438" s="36"/>
      <c r="K438" s="36"/>
      <c r="L438" s="36"/>
      <c r="M438" s="35"/>
      <c r="N438" s="32"/>
    </row>
    <row r="439" spans="1:64" x14ac:dyDescent="0.2">
      <c r="A439" s="79" t="s">
        <v>271</v>
      </c>
      <c r="B439" s="79" t="s">
        <v>418</v>
      </c>
      <c r="C439" s="194" t="s">
        <v>691</v>
      </c>
      <c r="D439" s="195"/>
      <c r="E439" s="195"/>
      <c r="F439" s="79" t="s">
        <v>1051</v>
      </c>
      <c r="G439" s="80">
        <v>5</v>
      </c>
      <c r="H439" s="80">
        <v>0</v>
      </c>
      <c r="I439" s="80">
        <f>G439*AO439</f>
        <v>0</v>
      </c>
      <c r="J439" s="80">
        <f>G439*AP439</f>
        <v>0</v>
      </c>
      <c r="K439" s="80">
        <f>G439*H439</f>
        <v>0</v>
      </c>
      <c r="L439" s="80">
        <f>G439*439</f>
        <v>2195</v>
      </c>
      <c r="M439" s="94" t="s">
        <v>1067</v>
      </c>
      <c r="N439" s="32"/>
      <c r="Z439" s="11">
        <f>IF(AQ439="5",BJ439,0)</f>
        <v>0</v>
      </c>
      <c r="AB439" s="11">
        <f>IF(AQ439="1",BH439,0)</f>
        <v>0</v>
      </c>
      <c r="AC439" s="11">
        <f>IF(AQ439="1",BI439,0)</f>
        <v>0</v>
      </c>
      <c r="AD439" s="11">
        <f>IF(AQ439="7",BH439,0)</f>
        <v>0</v>
      </c>
      <c r="AE439" s="11">
        <f>IF(AQ439="7",BI439,0)</f>
        <v>0</v>
      </c>
      <c r="AF439" s="11">
        <f>IF(AQ439="2",BH439,0)</f>
        <v>0</v>
      </c>
      <c r="AG439" s="11">
        <f>IF(AQ439="2",BI439,0)</f>
        <v>0</v>
      </c>
      <c r="AH439" s="11">
        <f>IF(AQ439="0",BJ439,0)</f>
        <v>0</v>
      </c>
      <c r="AI439" s="26" t="s">
        <v>77</v>
      </c>
      <c r="AJ439" s="20">
        <f>IF(AN439=0,K439,0)</f>
        <v>0</v>
      </c>
      <c r="AK439" s="20">
        <f>IF(AN439=15,K439,0)</f>
        <v>0</v>
      </c>
      <c r="AL439" s="20">
        <f>IF(AN439=21,K439,0)</f>
        <v>0</v>
      </c>
      <c r="AN439" s="11">
        <v>21</v>
      </c>
      <c r="AO439" s="11">
        <f>H439*0</f>
        <v>0</v>
      </c>
      <c r="AP439" s="11">
        <f>H439*(1-0)</f>
        <v>0</v>
      </c>
      <c r="AQ439" s="27" t="s">
        <v>138</v>
      </c>
      <c r="AV439" s="11">
        <f>AW439+AX439</f>
        <v>0</v>
      </c>
      <c r="AW439" s="11">
        <f>G439*AO439</f>
        <v>0</v>
      </c>
      <c r="AX439" s="11">
        <f>G439*AP439</f>
        <v>0</v>
      </c>
      <c r="AY439" s="29" t="s">
        <v>1090</v>
      </c>
      <c r="AZ439" s="29" t="s">
        <v>1116</v>
      </c>
      <c r="BA439" s="26" t="s">
        <v>1129</v>
      </c>
      <c r="BB439" s="26" t="s">
        <v>1147</v>
      </c>
      <c r="BC439" s="11">
        <f>AW439+AX439</f>
        <v>0</v>
      </c>
      <c r="BD439" s="11">
        <f>H439/(100-BE439)*100</f>
        <v>0</v>
      </c>
      <c r="BE439" s="11">
        <v>0</v>
      </c>
      <c r="BF439" s="11">
        <f>L439</f>
        <v>2195</v>
      </c>
      <c r="BH439" s="20">
        <f>G439*AO439</f>
        <v>0</v>
      </c>
      <c r="BI439" s="20">
        <f>G439*AP439</f>
        <v>0</v>
      </c>
      <c r="BJ439" s="20">
        <f>G439*H439</f>
        <v>0</v>
      </c>
      <c r="BK439" s="20" t="s">
        <v>1164</v>
      </c>
      <c r="BL439" s="11">
        <v>97</v>
      </c>
    </row>
    <row r="440" spans="1:64" x14ac:dyDescent="0.2">
      <c r="A440" s="35"/>
      <c r="B440" s="36"/>
      <c r="C440" s="81" t="s">
        <v>142</v>
      </c>
      <c r="D440" s="36"/>
      <c r="E440" s="82"/>
      <c r="F440" s="36"/>
      <c r="G440" s="83">
        <v>5</v>
      </c>
      <c r="H440" s="36"/>
      <c r="I440" s="36"/>
      <c r="J440" s="36"/>
      <c r="K440" s="36"/>
      <c r="L440" s="36"/>
      <c r="M440" s="35"/>
      <c r="N440" s="32"/>
    </row>
    <row r="441" spans="1:64" x14ac:dyDescent="0.2">
      <c r="A441" s="79" t="s">
        <v>272</v>
      </c>
      <c r="B441" s="79" t="s">
        <v>419</v>
      </c>
      <c r="C441" s="194" t="s">
        <v>693</v>
      </c>
      <c r="D441" s="195"/>
      <c r="E441" s="195"/>
      <c r="F441" s="79" t="s">
        <v>1049</v>
      </c>
      <c r="G441" s="80">
        <v>0.9405</v>
      </c>
      <c r="H441" s="80">
        <v>0</v>
      </c>
      <c r="I441" s="80">
        <f>G441*AO441</f>
        <v>0</v>
      </c>
      <c r="J441" s="80">
        <f>G441*AP441</f>
        <v>0</v>
      </c>
      <c r="K441" s="80">
        <f>G441*H441</f>
        <v>0</v>
      </c>
      <c r="L441" s="80">
        <f>G441*441</f>
        <v>414.76049999999998</v>
      </c>
      <c r="M441" s="94" t="s">
        <v>1066</v>
      </c>
      <c r="N441" s="32"/>
      <c r="Z441" s="11">
        <f>IF(AQ441="5",BJ441,0)</f>
        <v>0</v>
      </c>
      <c r="AB441" s="11">
        <f>IF(AQ441="1",BH441,0)</f>
        <v>0</v>
      </c>
      <c r="AC441" s="11">
        <f>IF(AQ441="1",BI441,0)</f>
        <v>0</v>
      </c>
      <c r="AD441" s="11">
        <f>IF(AQ441="7",BH441,0)</f>
        <v>0</v>
      </c>
      <c r="AE441" s="11">
        <f>IF(AQ441="7",BI441,0)</f>
        <v>0</v>
      </c>
      <c r="AF441" s="11">
        <f>IF(AQ441="2",BH441,0)</f>
        <v>0</v>
      </c>
      <c r="AG441" s="11">
        <f>IF(AQ441="2",BI441,0)</f>
        <v>0</v>
      </c>
      <c r="AH441" s="11">
        <f>IF(AQ441="0",BJ441,0)</f>
        <v>0</v>
      </c>
      <c r="AI441" s="26" t="s">
        <v>77</v>
      </c>
      <c r="AJ441" s="20">
        <f>IF(AN441=0,K441,0)</f>
        <v>0</v>
      </c>
      <c r="AK441" s="20">
        <f>IF(AN441=15,K441,0)</f>
        <v>0</v>
      </c>
      <c r="AL441" s="20">
        <f>IF(AN441=21,K441,0)</f>
        <v>0</v>
      </c>
      <c r="AN441" s="11">
        <v>21</v>
      </c>
      <c r="AO441" s="11">
        <f>H441*0.0334231607449478</f>
        <v>0</v>
      </c>
      <c r="AP441" s="11">
        <f>H441*(1-0.0334231607449478)</f>
        <v>0</v>
      </c>
      <c r="AQ441" s="27" t="s">
        <v>138</v>
      </c>
      <c r="AV441" s="11">
        <f>AW441+AX441</f>
        <v>0</v>
      </c>
      <c r="AW441" s="11">
        <f>G441*AO441</f>
        <v>0</v>
      </c>
      <c r="AX441" s="11">
        <f>G441*AP441</f>
        <v>0</v>
      </c>
      <c r="AY441" s="29" t="s">
        <v>1090</v>
      </c>
      <c r="AZ441" s="29" t="s">
        <v>1116</v>
      </c>
      <c r="BA441" s="26" t="s">
        <v>1129</v>
      </c>
      <c r="BB441" s="26" t="s">
        <v>1147</v>
      </c>
      <c r="BC441" s="11">
        <f>AW441+AX441</f>
        <v>0</v>
      </c>
      <c r="BD441" s="11">
        <f>H441/(100-BE441)*100</f>
        <v>0</v>
      </c>
      <c r="BE441" s="11">
        <v>0</v>
      </c>
      <c r="BF441" s="11">
        <f>L441</f>
        <v>414.76049999999998</v>
      </c>
      <c r="BH441" s="20">
        <f>G441*AO441</f>
        <v>0</v>
      </c>
      <c r="BI441" s="20">
        <f>G441*AP441</f>
        <v>0</v>
      </c>
      <c r="BJ441" s="20">
        <f>G441*H441</f>
        <v>0</v>
      </c>
      <c r="BK441" s="20" t="s">
        <v>1164</v>
      </c>
      <c r="BL441" s="11">
        <v>97</v>
      </c>
    </row>
    <row r="442" spans="1:64" x14ac:dyDescent="0.2">
      <c r="A442" s="35"/>
      <c r="B442" s="36"/>
      <c r="C442" s="81" t="s">
        <v>789</v>
      </c>
      <c r="D442" s="36"/>
      <c r="E442" s="82" t="s">
        <v>1014</v>
      </c>
      <c r="F442" s="36"/>
      <c r="G442" s="83">
        <v>0.9405</v>
      </c>
      <c r="H442" s="36"/>
      <c r="I442" s="36"/>
      <c r="J442" s="36"/>
      <c r="K442" s="36"/>
      <c r="L442" s="36"/>
      <c r="M442" s="35"/>
      <c r="N442" s="32"/>
    </row>
    <row r="443" spans="1:64" x14ac:dyDescent="0.2">
      <c r="A443" s="79" t="s">
        <v>273</v>
      </c>
      <c r="B443" s="79" t="s">
        <v>422</v>
      </c>
      <c r="C443" s="194" t="s">
        <v>698</v>
      </c>
      <c r="D443" s="195"/>
      <c r="E443" s="195"/>
      <c r="F443" s="79" t="s">
        <v>1047</v>
      </c>
      <c r="G443" s="80">
        <v>2</v>
      </c>
      <c r="H443" s="80">
        <v>0</v>
      </c>
      <c r="I443" s="80">
        <f>G443*AO443</f>
        <v>0</v>
      </c>
      <c r="J443" s="80">
        <f>G443*AP443</f>
        <v>0</v>
      </c>
      <c r="K443" s="80">
        <f>G443*H443</f>
        <v>0</v>
      </c>
      <c r="L443" s="80">
        <f>G443*443</f>
        <v>886</v>
      </c>
      <c r="M443" s="94" t="s">
        <v>1066</v>
      </c>
      <c r="N443" s="32"/>
      <c r="Z443" s="11">
        <f>IF(AQ443="5",BJ443,0)</f>
        <v>0</v>
      </c>
      <c r="AB443" s="11">
        <f>IF(AQ443="1",BH443,0)</f>
        <v>0</v>
      </c>
      <c r="AC443" s="11">
        <f>IF(AQ443="1",BI443,0)</f>
        <v>0</v>
      </c>
      <c r="AD443" s="11">
        <f>IF(AQ443="7",BH443,0)</f>
        <v>0</v>
      </c>
      <c r="AE443" s="11">
        <f>IF(AQ443="7",BI443,0)</f>
        <v>0</v>
      </c>
      <c r="AF443" s="11">
        <f>IF(AQ443="2",BH443,0)</f>
        <v>0</v>
      </c>
      <c r="AG443" s="11">
        <f>IF(AQ443="2",BI443,0)</f>
        <v>0</v>
      </c>
      <c r="AH443" s="11">
        <f>IF(AQ443="0",BJ443,0)</f>
        <v>0</v>
      </c>
      <c r="AI443" s="26" t="s">
        <v>77</v>
      </c>
      <c r="AJ443" s="20">
        <f>IF(AN443=0,K443,0)</f>
        <v>0</v>
      </c>
      <c r="AK443" s="20">
        <f>IF(AN443=15,K443,0)</f>
        <v>0</v>
      </c>
      <c r="AL443" s="20">
        <f>IF(AN443=21,K443,0)</f>
        <v>0</v>
      </c>
      <c r="AN443" s="11">
        <v>21</v>
      </c>
      <c r="AO443" s="11">
        <f>H443*0.0458166194559039</f>
        <v>0</v>
      </c>
      <c r="AP443" s="11">
        <f>H443*(1-0.0458166194559039)</f>
        <v>0</v>
      </c>
      <c r="AQ443" s="27" t="s">
        <v>138</v>
      </c>
      <c r="AV443" s="11">
        <f>AW443+AX443</f>
        <v>0</v>
      </c>
      <c r="AW443" s="11">
        <f>G443*AO443</f>
        <v>0</v>
      </c>
      <c r="AX443" s="11">
        <f>G443*AP443</f>
        <v>0</v>
      </c>
      <c r="AY443" s="29" t="s">
        <v>1090</v>
      </c>
      <c r="AZ443" s="29" t="s">
        <v>1116</v>
      </c>
      <c r="BA443" s="26" t="s">
        <v>1129</v>
      </c>
      <c r="BB443" s="26" t="s">
        <v>1147</v>
      </c>
      <c r="BC443" s="11">
        <f>AW443+AX443</f>
        <v>0</v>
      </c>
      <c r="BD443" s="11">
        <f>H443/(100-BE443)*100</f>
        <v>0</v>
      </c>
      <c r="BE443" s="11">
        <v>0</v>
      </c>
      <c r="BF443" s="11">
        <f>L443</f>
        <v>886</v>
      </c>
      <c r="BH443" s="20">
        <f>G443*AO443</f>
        <v>0</v>
      </c>
      <c r="BI443" s="20">
        <f>G443*AP443</f>
        <v>0</v>
      </c>
      <c r="BJ443" s="20">
        <f>G443*H443</f>
        <v>0</v>
      </c>
      <c r="BK443" s="20" t="s">
        <v>1164</v>
      </c>
      <c r="BL443" s="11">
        <v>97</v>
      </c>
    </row>
    <row r="444" spans="1:64" x14ac:dyDescent="0.2">
      <c r="A444" s="35"/>
      <c r="B444" s="36"/>
      <c r="C444" s="81" t="s">
        <v>139</v>
      </c>
      <c r="D444" s="36"/>
      <c r="E444" s="82" t="s">
        <v>982</v>
      </c>
      <c r="F444" s="36"/>
      <c r="G444" s="83">
        <v>2</v>
      </c>
      <c r="H444" s="36"/>
      <c r="I444" s="36"/>
      <c r="J444" s="36"/>
      <c r="K444" s="36"/>
      <c r="L444" s="36"/>
      <c r="M444" s="35"/>
      <c r="N444" s="32"/>
    </row>
    <row r="445" spans="1:64" x14ac:dyDescent="0.2">
      <c r="A445" s="79" t="s">
        <v>274</v>
      </c>
      <c r="B445" s="79" t="s">
        <v>439</v>
      </c>
      <c r="C445" s="194" t="s">
        <v>790</v>
      </c>
      <c r="D445" s="195"/>
      <c r="E445" s="195"/>
      <c r="F445" s="79" t="s">
        <v>1047</v>
      </c>
      <c r="G445" s="80">
        <v>2</v>
      </c>
      <c r="H445" s="80">
        <v>0</v>
      </c>
      <c r="I445" s="80">
        <f>G445*AO445</f>
        <v>0</v>
      </c>
      <c r="J445" s="80">
        <f>G445*AP445</f>
        <v>0</v>
      </c>
      <c r="K445" s="80">
        <f>G445*H445</f>
        <v>0</v>
      </c>
      <c r="L445" s="80">
        <f>G445*445</f>
        <v>890</v>
      </c>
      <c r="M445" s="94" t="s">
        <v>1066</v>
      </c>
      <c r="N445" s="32"/>
      <c r="Z445" s="11">
        <f>IF(AQ445="5",BJ445,0)</f>
        <v>0</v>
      </c>
      <c r="AB445" s="11">
        <f>IF(AQ445="1",BH445,0)</f>
        <v>0</v>
      </c>
      <c r="AC445" s="11">
        <f>IF(AQ445="1",BI445,0)</f>
        <v>0</v>
      </c>
      <c r="AD445" s="11">
        <f>IF(AQ445="7",BH445,0)</f>
        <v>0</v>
      </c>
      <c r="AE445" s="11">
        <f>IF(AQ445="7",BI445,0)</f>
        <v>0</v>
      </c>
      <c r="AF445" s="11">
        <f>IF(AQ445="2",BH445,0)</f>
        <v>0</v>
      </c>
      <c r="AG445" s="11">
        <f>IF(AQ445="2",BI445,0)</f>
        <v>0</v>
      </c>
      <c r="AH445" s="11">
        <f>IF(AQ445="0",BJ445,0)</f>
        <v>0</v>
      </c>
      <c r="AI445" s="26" t="s">
        <v>77</v>
      </c>
      <c r="AJ445" s="20">
        <f>IF(AN445=0,K445,0)</f>
        <v>0</v>
      </c>
      <c r="AK445" s="20">
        <f>IF(AN445=15,K445,0)</f>
        <v>0</v>
      </c>
      <c r="AL445" s="20">
        <f>IF(AN445=21,K445,0)</f>
        <v>0</v>
      </c>
      <c r="AN445" s="11">
        <v>21</v>
      </c>
      <c r="AO445" s="11">
        <f>H445*0</f>
        <v>0</v>
      </c>
      <c r="AP445" s="11">
        <f>H445*(1-0)</f>
        <v>0</v>
      </c>
      <c r="AQ445" s="27" t="s">
        <v>138</v>
      </c>
      <c r="AV445" s="11">
        <f>AW445+AX445</f>
        <v>0</v>
      </c>
      <c r="AW445" s="11">
        <f>G445*AO445</f>
        <v>0</v>
      </c>
      <c r="AX445" s="11">
        <f>G445*AP445</f>
        <v>0</v>
      </c>
      <c r="AY445" s="29" t="s">
        <v>1090</v>
      </c>
      <c r="AZ445" s="29" t="s">
        <v>1116</v>
      </c>
      <c r="BA445" s="26" t="s">
        <v>1129</v>
      </c>
      <c r="BB445" s="26" t="s">
        <v>1147</v>
      </c>
      <c r="BC445" s="11">
        <f>AW445+AX445</f>
        <v>0</v>
      </c>
      <c r="BD445" s="11">
        <f>H445/(100-BE445)*100</f>
        <v>0</v>
      </c>
      <c r="BE445" s="11">
        <v>0</v>
      </c>
      <c r="BF445" s="11">
        <f>L445</f>
        <v>890</v>
      </c>
      <c r="BH445" s="20">
        <f>G445*AO445</f>
        <v>0</v>
      </c>
      <c r="BI445" s="20">
        <f>G445*AP445</f>
        <v>0</v>
      </c>
      <c r="BJ445" s="20">
        <f>G445*H445</f>
        <v>0</v>
      </c>
      <c r="BK445" s="20" t="s">
        <v>1164</v>
      </c>
      <c r="BL445" s="11">
        <v>97</v>
      </c>
    </row>
    <row r="446" spans="1:64" x14ac:dyDescent="0.2">
      <c r="A446" s="35"/>
      <c r="B446" s="36"/>
      <c r="C446" s="81" t="s">
        <v>139</v>
      </c>
      <c r="D446" s="36"/>
      <c r="E446" s="82" t="s">
        <v>1015</v>
      </c>
      <c r="F446" s="36"/>
      <c r="G446" s="83">
        <v>2</v>
      </c>
      <c r="H446" s="36"/>
      <c r="I446" s="36"/>
      <c r="J446" s="36"/>
      <c r="K446" s="36"/>
      <c r="L446" s="36"/>
      <c r="M446" s="35"/>
      <c r="N446" s="32"/>
    </row>
    <row r="447" spans="1:64" x14ac:dyDescent="0.2">
      <c r="A447" s="77"/>
      <c r="B447" s="76" t="s">
        <v>100</v>
      </c>
      <c r="C447" s="204" t="s">
        <v>118</v>
      </c>
      <c r="D447" s="205"/>
      <c r="E447" s="205"/>
      <c r="F447" s="77" t="s">
        <v>60</v>
      </c>
      <c r="G447" s="77" t="s">
        <v>60</v>
      </c>
      <c r="H447" s="77" t="s">
        <v>60</v>
      </c>
      <c r="I447" s="78">
        <f>SUM(I448:I448)</f>
        <v>0</v>
      </c>
      <c r="J447" s="78">
        <f>SUM(J448:J448)</f>
        <v>0</v>
      </c>
      <c r="K447" s="78">
        <f>SUM(K448:K448)</f>
        <v>0</v>
      </c>
      <c r="L447" s="78">
        <f>SUM(L448:L448)</f>
        <v>586.83519999999999</v>
      </c>
      <c r="M447" s="93"/>
      <c r="N447" s="32"/>
      <c r="AI447" s="26" t="s">
        <v>77</v>
      </c>
      <c r="AS447" s="31">
        <f>SUM(AJ448:AJ448)</f>
        <v>0</v>
      </c>
      <c r="AT447" s="31">
        <f>SUM(AK448:AK448)</f>
        <v>0</v>
      </c>
      <c r="AU447" s="31">
        <f>SUM(AL448:AL448)</f>
        <v>0</v>
      </c>
    </row>
    <row r="448" spans="1:64" x14ac:dyDescent="0.2">
      <c r="A448" s="79" t="s">
        <v>275</v>
      </c>
      <c r="B448" s="79" t="s">
        <v>440</v>
      </c>
      <c r="C448" s="194" t="s">
        <v>791</v>
      </c>
      <c r="D448" s="195"/>
      <c r="E448" s="195"/>
      <c r="F448" s="79" t="s">
        <v>1048</v>
      </c>
      <c r="G448" s="80">
        <v>1.3099000000000001</v>
      </c>
      <c r="H448" s="80">
        <v>0</v>
      </c>
      <c r="I448" s="80">
        <f>G448*AO448</f>
        <v>0</v>
      </c>
      <c r="J448" s="80">
        <f>G448*AP448</f>
        <v>0</v>
      </c>
      <c r="K448" s="80">
        <f>G448*H448</f>
        <v>0</v>
      </c>
      <c r="L448" s="80">
        <f>G448*448</f>
        <v>586.83519999999999</v>
      </c>
      <c r="M448" s="94" t="s">
        <v>1066</v>
      </c>
      <c r="N448" s="32"/>
      <c r="Z448" s="11">
        <f>IF(AQ448="5",BJ448,0)</f>
        <v>0</v>
      </c>
      <c r="AB448" s="11">
        <f>IF(AQ448="1",BH448,0)</f>
        <v>0</v>
      </c>
      <c r="AC448" s="11">
        <f>IF(AQ448="1",BI448,0)</f>
        <v>0</v>
      </c>
      <c r="AD448" s="11">
        <f>IF(AQ448="7",BH448,0)</f>
        <v>0</v>
      </c>
      <c r="AE448" s="11">
        <f>IF(AQ448="7",BI448,0)</f>
        <v>0</v>
      </c>
      <c r="AF448" s="11">
        <f>IF(AQ448="2",BH448,0)</f>
        <v>0</v>
      </c>
      <c r="AG448" s="11">
        <f>IF(AQ448="2",BI448,0)</f>
        <v>0</v>
      </c>
      <c r="AH448" s="11">
        <f>IF(AQ448="0",BJ448,0)</f>
        <v>0</v>
      </c>
      <c r="AI448" s="26" t="s">
        <v>77</v>
      </c>
      <c r="AJ448" s="20">
        <f>IF(AN448=0,K448,0)</f>
        <v>0</v>
      </c>
      <c r="AK448" s="20">
        <f>IF(AN448=15,K448,0)</f>
        <v>0</v>
      </c>
      <c r="AL448" s="20">
        <f>IF(AN448=21,K448,0)</f>
        <v>0</v>
      </c>
      <c r="AN448" s="11">
        <v>21</v>
      </c>
      <c r="AO448" s="11">
        <f>H448*0</f>
        <v>0</v>
      </c>
      <c r="AP448" s="11">
        <f>H448*(1-0)</f>
        <v>0</v>
      </c>
      <c r="AQ448" s="27" t="s">
        <v>142</v>
      </c>
      <c r="AV448" s="11">
        <f>AW448+AX448</f>
        <v>0</v>
      </c>
      <c r="AW448" s="11">
        <f>G448*AO448</f>
        <v>0</v>
      </c>
      <c r="AX448" s="11">
        <f>G448*AP448</f>
        <v>0</v>
      </c>
      <c r="AY448" s="29" t="s">
        <v>1093</v>
      </c>
      <c r="AZ448" s="29" t="s">
        <v>1116</v>
      </c>
      <c r="BA448" s="26" t="s">
        <v>1129</v>
      </c>
      <c r="BB448" s="26" t="s">
        <v>1150</v>
      </c>
      <c r="BC448" s="11">
        <f>AW448+AX448</f>
        <v>0</v>
      </c>
      <c r="BD448" s="11">
        <f>H448/(100-BE448)*100</f>
        <v>0</v>
      </c>
      <c r="BE448" s="11">
        <v>0</v>
      </c>
      <c r="BF448" s="11">
        <f>L448</f>
        <v>586.83519999999999</v>
      </c>
      <c r="BH448" s="20">
        <f>G448*AO448</f>
        <v>0</v>
      </c>
      <c r="BI448" s="20">
        <f>G448*AP448</f>
        <v>0</v>
      </c>
      <c r="BJ448" s="20">
        <f>G448*H448</f>
        <v>0</v>
      </c>
      <c r="BK448" s="20" t="s">
        <v>1164</v>
      </c>
      <c r="BL448" s="11" t="s">
        <v>100</v>
      </c>
    </row>
    <row r="449" spans="1:64" x14ac:dyDescent="0.2">
      <c r="A449" s="35"/>
      <c r="B449" s="36"/>
      <c r="C449" s="81" t="s">
        <v>792</v>
      </c>
      <c r="D449" s="36"/>
      <c r="E449" s="82"/>
      <c r="F449" s="36"/>
      <c r="G449" s="83">
        <v>1.3099000000000001</v>
      </c>
      <c r="H449" s="36"/>
      <c r="I449" s="36"/>
      <c r="J449" s="36"/>
      <c r="K449" s="36"/>
      <c r="L449" s="36"/>
      <c r="M449" s="35"/>
      <c r="N449" s="32"/>
    </row>
    <row r="450" spans="1:64" x14ac:dyDescent="0.2">
      <c r="A450" s="77"/>
      <c r="B450" s="76" t="s">
        <v>98</v>
      </c>
      <c r="C450" s="204" t="s">
        <v>124</v>
      </c>
      <c r="D450" s="205"/>
      <c r="E450" s="205"/>
      <c r="F450" s="77" t="s">
        <v>60</v>
      </c>
      <c r="G450" s="77" t="s">
        <v>60</v>
      </c>
      <c r="H450" s="77" t="s">
        <v>60</v>
      </c>
      <c r="I450" s="78">
        <f>SUM(I451:I468)</f>
        <v>0</v>
      </c>
      <c r="J450" s="78">
        <f>SUM(J451:J468)</f>
        <v>0</v>
      </c>
      <c r="K450" s="78">
        <f>SUM(K451:K468)</f>
        <v>0</v>
      </c>
      <c r="L450" s="78">
        <f>SUM(L451:L468)</f>
        <v>90495.149099999981</v>
      </c>
      <c r="M450" s="93"/>
      <c r="N450" s="32"/>
      <c r="AI450" s="26" t="s">
        <v>77</v>
      </c>
      <c r="AS450" s="31">
        <f>SUM(AJ451:AJ468)</f>
        <v>0</v>
      </c>
      <c r="AT450" s="31">
        <f>SUM(AK451:AK468)</f>
        <v>0</v>
      </c>
      <c r="AU450" s="31">
        <f>SUM(AL451:AL468)</f>
        <v>0</v>
      </c>
    </row>
    <row r="451" spans="1:64" x14ac:dyDescent="0.2">
      <c r="A451" s="79" t="s">
        <v>276</v>
      </c>
      <c r="B451" s="79" t="s">
        <v>423</v>
      </c>
      <c r="C451" s="194" t="s">
        <v>699</v>
      </c>
      <c r="D451" s="195"/>
      <c r="E451" s="195"/>
      <c r="F451" s="79" t="s">
        <v>1048</v>
      </c>
      <c r="G451" s="80">
        <v>14.036899999999999</v>
      </c>
      <c r="H451" s="80">
        <v>0</v>
      </c>
      <c r="I451" s="80">
        <f>G451*AO451</f>
        <v>0</v>
      </c>
      <c r="J451" s="80">
        <f>G451*AP451</f>
        <v>0</v>
      </c>
      <c r="K451" s="80">
        <f>G451*H451</f>
        <v>0</v>
      </c>
      <c r="L451" s="80">
        <f>G451*451</f>
        <v>6330.6418999999996</v>
      </c>
      <c r="M451" s="94" t="s">
        <v>1066</v>
      </c>
      <c r="N451" s="32"/>
      <c r="Z451" s="11">
        <f>IF(AQ451="5",BJ451,0)</f>
        <v>0</v>
      </c>
      <c r="AB451" s="11">
        <f>IF(AQ451="1",BH451,0)</f>
        <v>0</v>
      </c>
      <c r="AC451" s="11">
        <f>IF(AQ451="1",BI451,0)</f>
        <v>0</v>
      </c>
      <c r="AD451" s="11">
        <f>IF(AQ451="7",BH451,0)</f>
        <v>0</v>
      </c>
      <c r="AE451" s="11">
        <f>IF(AQ451="7",BI451,0)</f>
        <v>0</v>
      </c>
      <c r="AF451" s="11">
        <f>IF(AQ451="2",BH451,0)</f>
        <v>0</v>
      </c>
      <c r="AG451" s="11">
        <f>IF(AQ451="2",BI451,0)</f>
        <v>0</v>
      </c>
      <c r="AH451" s="11">
        <f>IF(AQ451="0",BJ451,0)</f>
        <v>0</v>
      </c>
      <c r="AI451" s="26" t="s">
        <v>77</v>
      </c>
      <c r="AJ451" s="20">
        <f>IF(AN451=0,K451,0)</f>
        <v>0</v>
      </c>
      <c r="AK451" s="20">
        <f>IF(AN451=15,K451,0)</f>
        <v>0</v>
      </c>
      <c r="AL451" s="20">
        <f>IF(AN451=21,K451,0)</f>
        <v>0</v>
      </c>
      <c r="AN451" s="11">
        <v>21</v>
      </c>
      <c r="AO451" s="11">
        <f>H451*0</f>
        <v>0</v>
      </c>
      <c r="AP451" s="11">
        <f>H451*(1-0)</f>
        <v>0</v>
      </c>
      <c r="AQ451" s="27" t="s">
        <v>142</v>
      </c>
      <c r="AV451" s="11">
        <f>AW451+AX451</f>
        <v>0</v>
      </c>
      <c r="AW451" s="11">
        <f>G451*AO451</f>
        <v>0</v>
      </c>
      <c r="AX451" s="11">
        <f>G451*AP451</f>
        <v>0</v>
      </c>
      <c r="AY451" s="29" t="s">
        <v>1091</v>
      </c>
      <c r="AZ451" s="29" t="s">
        <v>1116</v>
      </c>
      <c r="BA451" s="26" t="s">
        <v>1129</v>
      </c>
      <c r="BB451" s="26" t="s">
        <v>1148</v>
      </c>
      <c r="BC451" s="11">
        <f>AW451+AX451</f>
        <v>0</v>
      </c>
      <c r="BD451" s="11">
        <f>H451/(100-BE451)*100</f>
        <v>0</v>
      </c>
      <c r="BE451" s="11">
        <v>0</v>
      </c>
      <c r="BF451" s="11">
        <f>L451</f>
        <v>6330.6418999999996</v>
      </c>
      <c r="BH451" s="20">
        <f>G451*AO451</f>
        <v>0</v>
      </c>
      <c r="BI451" s="20">
        <f>G451*AP451</f>
        <v>0</v>
      </c>
      <c r="BJ451" s="20">
        <f>G451*H451</f>
        <v>0</v>
      </c>
      <c r="BK451" s="20" t="s">
        <v>1164</v>
      </c>
      <c r="BL451" s="11" t="s">
        <v>98</v>
      </c>
    </row>
    <row r="452" spans="1:64" x14ac:dyDescent="0.2">
      <c r="A452" s="35"/>
      <c r="B452" s="36"/>
      <c r="C452" s="81" t="s">
        <v>793</v>
      </c>
      <c r="D452" s="36"/>
      <c r="E452" s="82" t="s">
        <v>983</v>
      </c>
      <c r="F452" s="36"/>
      <c r="G452" s="83">
        <v>3.0868000000000002</v>
      </c>
      <c r="H452" s="36"/>
      <c r="I452" s="36"/>
      <c r="J452" s="36"/>
      <c r="K452" s="36"/>
      <c r="L452" s="36"/>
      <c r="M452" s="35"/>
      <c r="N452" s="32"/>
    </row>
    <row r="453" spans="1:64" x14ac:dyDescent="0.2">
      <c r="A453" s="35"/>
      <c r="B453" s="36"/>
      <c r="C453" s="81" t="s">
        <v>794</v>
      </c>
      <c r="D453" s="36"/>
      <c r="E453" s="82" t="s">
        <v>984</v>
      </c>
      <c r="F453" s="36"/>
      <c r="G453" s="83">
        <v>10.105700000000001</v>
      </c>
      <c r="H453" s="36"/>
      <c r="I453" s="36"/>
      <c r="J453" s="36"/>
      <c r="K453" s="36"/>
      <c r="L453" s="36"/>
      <c r="M453" s="35"/>
      <c r="N453" s="32"/>
    </row>
    <row r="454" spans="1:64" x14ac:dyDescent="0.2">
      <c r="A454" s="35"/>
      <c r="B454" s="36"/>
      <c r="C454" s="81" t="s">
        <v>795</v>
      </c>
      <c r="D454" s="36"/>
      <c r="E454" s="82" t="s">
        <v>985</v>
      </c>
      <c r="F454" s="36"/>
      <c r="G454" s="83">
        <v>0.37259999999999999</v>
      </c>
      <c r="H454" s="36"/>
      <c r="I454" s="36"/>
      <c r="J454" s="36"/>
      <c r="K454" s="36"/>
      <c r="L454" s="36"/>
      <c r="M454" s="35"/>
      <c r="N454" s="32"/>
    </row>
    <row r="455" spans="1:64" x14ac:dyDescent="0.2">
      <c r="A455" s="35"/>
      <c r="B455" s="36"/>
      <c r="C455" s="81" t="s">
        <v>796</v>
      </c>
      <c r="D455" s="36"/>
      <c r="E455" s="82" t="s">
        <v>986</v>
      </c>
      <c r="F455" s="36"/>
      <c r="G455" s="83">
        <v>0.4718</v>
      </c>
      <c r="H455" s="36"/>
      <c r="I455" s="36"/>
      <c r="J455" s="36"/>
      <c r="K455" s="36"/>
      <c r="L455" s="36"/>
      <c r="M455" s="35"/>
      <c r="N455" s="32"/>
    </row>
    <row r="456" spans="1:64" x14ac:dyDescent="0.2">
      <c r="A456" s="79" t="s">
        <v>277</v>
      </c>
      <c r="B456" s="79" t="s">
        <v>424</v>
      </c>
      <c r="C456" s="194" t="s">
        <v>704</v>
      </c>
      <c r="D456" s="195"/>
      <c r="E456" s="195"/>
      <c r="F456" s="79" t="s">
        <v>1048</v>
      </c>
      <c r="G456" s="80">
        <v>28.073799999999999</v>
      </c>
      <c r="H456" s="80">
        <v>0</v>
      </c>
      <c r="I456" s="80">
        <f>G456*AO456</f>
        <v>0</v>
      </c>
      <c r="J456" s="80">
        <f>G456*AP456</f>
        <v>0</v>
      </c>
      <c r="K456" s="80">
        <f>G456*H456</f>
        <v>0</v>
      </c>
      <c r="L456" s="80">
        <f>G456*456</f>
        <v>12801.6528</v>
      </c>
      <c r="M456" s="94" t="s">
        <v>1066</v>
      </c>
      <c r="N456" s="32"/>
      <c r="Z456" s="11">
        <f>IF(AQ456="5",BJ456,0)</f>
        <v>0</v>
      </c>
      <c r="AB456" s="11">
        <f>IF(AQ456="1",BH456,0)</f>
        <v>0</v>
      </c>
      <c r="AC456" s="11">
        <f>IF(AQ456="1",BI456,0)</f>
        <v>0</v>
      </c>
      <c r="AD456" s="11">
        <f>IF(AQ456="7",BH456,0)</f>
        <v>0</v>
      </c>
      <c r="AE456" s="11">
        <f>IF(AQ456="7",BI456,0)</f>
        <v>0</v>
      </c>
      <c r="AF456" s="11">
        <f>IF(AQ456="2",BH456,0)</f>
        <v>0</v>
      </c>
      <c r="AG456" s="11">
        <f>IF(AQ456="2",BI456,0)</f>
        <v>0</v>
      </c>
      <c r="AH456" s="11">
        <f>IF(AQ456="0",BJ456,0)</f>
        <v>0</v>
      </c>
      <c r="AI456" s="26" t="s">
        <v>77</v>
      </c>
      <c r="AJ456" s="20">
        <f>IF(AN456=0,K456,0)</f>
        <v>0</v>
      </c>
      <c r="AK456" s="20">
        <f>IF(AN456=15,K456,0)</f>
        <v>0</v>
      </c>
      <c r="AL456" s="20">
        <f>IF(AN456=21,K456,0)</f>
        <v>0</v>
      </c>
      <c r="AN456" s="11">
        <v>21</v>
      </c>
      <c r="AO456" s="11">
        <f>H456*0</f>
        <v>0</v>
      </c>
      <c r="AP456" s="11">
        <f>H456*(1-0)</f>
        <v>0</v>
      </c>
      <c r="AQ456" s="27" t="s">
        <v>142</v>
      </c>
      <c r="AV456" s="11">
        <f>AW456+AX456</f>
        <v>0</v>
      </c>
      <c r="AW456" s="11">
        <f>G456*AO456</f>
        <v>0</v>
      </c>
      <c r="AX456" s="11">
        <f>G456*AP456</f>
        <v>0</v>
      </c>
      <c r="AY456" s="29" t="s">
        <v>1091</v>
      </c>
      <c r="AZ456" s="29" t="s">
        <v>1116</v>
      </c>
      <c r="BA456" s="26" t="s">
        <v>1129</v>
      </c>
      <c r="BB456" s="26" t="s">
        <v>1148</v>
      </c>
      <c r="BC456" s="11">
        <f>AW456+AX456</f>
        <v>0</v>
      </c>
      <c r="BD456" s="11">
        <f>H456/(100-BE456)*100</f>
        <v>0</v>
      </c>
      <c r="BE456" s="11">
        <v>0</v>
      </c>
      <c r="BF456" s="11">
        <f>L456</f>
        <v>12801.6528</v>
      </c>
      <c r="BH456" s="20">
        <f>G456*AO456</f>
        <v>0</v>
      </c>
      <c r="BI456" s="20">
        <f>G456*AP456</f>
        <v>0</v>
      </c>
      <c r="BJ456" s="20">
        <f>G456*H456</f>
        <v>0</v>
      </c>
      <c r="BK456" s="20" t="s">
        <v>1164</v>
      </c>
      <c r="BL456" s="11" t="s">
        <v>98</v>
      </c>
    </row>
    <row r="457" spans="1:64" x14ac:dyDescent="0.2">
      <c r="A457" s="35"/>
      <c r="B457" s="36"/>
      <c r="C457" s="81" t="s">
        <v>797</v>
      </c>
      <c r="D457" s="36"/>
      <c r="E457" s="82"/>
      <c r="F457" s="36"/>
      <c r="G457" s="83">
        <v>28.073799999999999</v>
      </c>
      <c r="H457" s="36"/>
      <c r="I457" s="36"/>
      <c r="J457" s="36"/>
      <c r="K457" s="36"/>
      <c r="L457" s="36"/>
      <c r="M457" s="35"/>
      <c r="N457" s="32"/>
    </row>
    <row r="458" spans="1:64" x14ac:dyDescent="0.2">
      <c r="A458" s="79" t="s">
        <v>278</v>
      </c>
      <c r="B458" s="79" t="s">
        <v>425</v>
      </c>
      <c r="C458" s="194" t="s">
        <v>706</v>
      </c>
      <c r="D458" s="195"/>
      <c r="E458" s="195"/>
      <c r="F458" s="79" t="s">
        <v>1048</v>
      </c>
      <c r="G458" s="80">
        <v>14.036899999999999</v>
      </c>
      <c r="H458" s="80">
        <v>0</v>
      </c>
      <c r="I458" s="80">
        <f>G458*AO458</f>
        <v>0</v>
      </c>
      <c r="J458" s="80">
        <f>G458*AP458</f>
        <v>0</v>
      </c>
      <c r="K458" s="80">
        <f>G458*H458</f>
        <v>0</v>
      </c>
      <c r="L458" s="80">
        <f>G458*458</f>
        <v>6428.9002</v>
      </c>
      <c r="M458" s="94" t="s">
        <v>1066</v>
      </c>
      <c r="N458" s="32"/>
      <c r="Z458" s="11">
        <f>IF(AQ458="5",BJ458,0)</f>
        <v>0</v>
      </c>
      <c r="AB458" s="11">
        <f>IF(AQ458="1",BH458,0)</f>
        <v>0</v>
      </c>
      <c r="AC458" s="11">
        <f>IF(AQ458="1",BI458,0)</f>
        <v>0</v>
      </c>
      <c r="AD458" s="11">
        <f>IF(AQ458="7",BH458,0)</f>
        <v>0</v>
      </c>
      <c r="AE458" s="11">
        <f>IF(AQ458="7",BI458,0)</f>
        <v>0</v>
      </c>
      <c r="AF458" s="11">
        <f>IF(AQ458="2",BH458,0)</f>
        <v>0</v>
      </c>
      <c r="AG458" s="11">
        <f>IF(AQ458="2",BI458,0)</f>
        <v>0</v>
      </c>
      <c r="AH458" s="11">
        <f>IF(AQ458="0",BJ458,0)</f>
        <v>0</v>
      </c>
      <c r="AI458" s="26" t="s">
        <v>77</v>
      </c>
      <c r="AJ458" s="20">
        <f>IF(AN458=0,K458,0)</f>
        <v>0</v>
      </c>
      <c r="AK458" s="20">
        <f>IF(AN458=15,K458,0)</f>
        <v>0</v>
      </c>
      <c r="AL458" s="20">
        <f>IF(AN458=21,K458,0)</f>
        <v>0</v>
      </c>
      <c r="AN458" s="11">
        <v>21</v>
      </c>
      <c r="AO458" s="11">
        <f>H458*0</f>
        <v>0</v>
      </c>
      <c r="AP458" s="11">
        <f>H458*(1-0)</f>
        <v>0</v>
      </c>
      <c r="AQ458" s="27" t="s">
        <v>142</v>
      </c>
      <c r="AV458" s="11">
        <f>AW458+AX458</f>
        <v>0</v>
      </c>
      <c r="AW458" s="11">
        <f>G458*AO458</f>
        <v>0</v>
      </c>
      <c r="AX458" s="11">
        <f>G458*AP458</f>
        <v>0</v>
      </c>
      <c r="AY458" s="29" t="s">
        <v>1091</v>
      </c>
      <c r="AZ458" s="29" t="s">
        <v>1116</v>
      </c>
      <c r="BA458" s="26" t="s">
        <v>1129</v>
      </c>
      <c r="BB458" s="26" t="s">
        <v>1148</v>
      </c>
      <c r="BC458" s="11">
        <f>AW458+AX458</f>
        <v>0</v>
      </c>
      <c r="BD458" s="11">
        <f>H458/(100-BE458)*100</f>
        <v>0</v>
      </c>
      <c r="BE458" s="11">
        <v>0</v>
      </c>
      <c r="BF458" s="11">
        <f>L458</f>
        <v>6428.9002</v>
      </c>
      <c r="BH458" s="20">
        <f>G458*AO458</f>
        <v>0</v>
      </c>
      <c r="BI458" s="20">
        <f>G458*AP458</f>
        <v>0</v>
      </c>
      <c r="BJ458" s="20">
        <f>G458*H458</f>
        <v>0</v>
      </c>
      <c r="BK458" s="20" t="s">
        <v>1164</v>
      </c>
      <c r="BL458" s="11" t="s">
        <v>98</v>
      </c>
    </row>
    <row r="459" spans="1:64" x14ac:dyDescent="0.2">
      <c r="A459" s="35"/>
      <c r="B459" s="36"/>
      <c r="C459" s="81" t="s">
        <v>798</v>
      </c>
      <c r="D459" s="36"/>
      <c r="E459" s="82"/>
      <c r="F459" s="36"/>
      <c r="G459" s="83">
        <v>14.036899999999999</v>
      </c>
      <c r="H459" s="36"/>
      <c r="I459" s="36"/>
      <c r="J459" s="36"/>
      <c r="K459" s="36"/>
      <c r="L459" s="36"/>
      <c r="M459" s="35"/>
      <c r="N459" s="32"/>
    </row>
    <row r="460" spans="1:64" x14ac:dyDescent="0.2">
      <c r="A460" s="79" t="s">
        <v>279</v>
      </c>
      <c r="B460" s="79" t="s">
        <v>426</v>
      </c>
      <c r="C460" s="194" t="s">
        <v>708</v>
      </c>
      <c r="D460" s="195"/>
      <c r="E460" s="195"/>
      <c r="F460" s="79" t="s">
        <v>1048</v>
      </c>
      <c r="G460" s="80">
        <v>14.036899999999999</v>
      </c>
      <c r="H460" s="80">
        <v>0</v>
      </c>
      <c r="I460" s="80">
        <f>G460*AO460</f>
        <v>0</v>
      </c>
      <c r="J460" s="80">
        <f>G460*AP460</f>
        <v>0</v>
      </c>
      <c r="K460" s="80">
        <f>G460*H460</f>
        <v>0</v>
      </c>
      <c r="L460" s="80">
        <f>G460*460</f>
        <v>6456.9739999999993</v>
      </c>
      <c r="M460" s="94" t="s">
        <v>1066</v>
      </c>
      <c r="N460" s="32"/>
      <c r="Z460" s="11">
        <f>IF(AQ460="5",BJ460,0)</f>
        <v>0</v>
      </c>
      <c r="AB460" s="11">
        <f>IF(AQ460="1",BH460,0)</f>
        <v>0</v>
      </c>
      <c r="AC460" s="11">
        <f>IF(AQ460="1",BI460,0)</f>
        <v>0</v>
      </c>
      <c r="AD460" s="11">
        <f>IF(AQ460="7",BH460,0)</f>
        <v>0</v>
      </c>
      <c r="AE460" s="11">
        <f>IF(AQ460="7",BI460,0)</f>
        <v>0</v>
      </c>
      <c r="AF460" s="11">
        <f>IF(AQ460="2",BH460,0)</f>
        <v>0</v>
      </c>
      <c r="AG460" s="11">
        <f>IF(AQ460="2",BI460,0)</f>
        <v>0</v>
      </c>
      <c r="AH460" s="11">
        <f>IF(AQ460="0",BJ460,0)</f>
        <v>0</v>
      </c>
      <c r="AI460" s="26" t="s">
        <v>77</v>
      </c>
      <c r="AJ460" s="20">
        <f>IF(AN460=0,K460,0)</f>
        <v>0</v>
      </c>
      <c r="AK460" s="20">
        <f>IF(AN460=15,K460,0)</f>
        <v>0</v>
      </c>
      <c r="AL460" s="20">
        <f>IF(AN460=21,K460,0)</f>
        <v>0</v>
      </c>
      <c r="AN460" s="11">
        <v>21</v>
      </c>
      <c r="AO460" s="11">
        <f>H460*0</f>
        <v>0</v>
      </c>
      <c r="AP460" s="11">
        <f>H460*(1-0)</f>
        <v>0</v>
      </c>
      <c r="AQ460" s="27" t="s">
        <v>142</v>
      </c>
      <c r="AV460" s="11">
        <f>AW460+AX460</f>
        <v>0</v>
      </c>
      <c r="AW460" s="11">
        <f>G460*AO460</f>
        <v>0</v>
      </c>
      <c r="AX460" s="11">
        <f>G460*AP460</f>
        <v>0</v>
      </c>
      <c r="AY460" s="29" t="s">
        <v>1091</v>
      </c>
      <c r="AZ460" s="29" t="s">
        <v>1116</v>
      </c>
      <c r="BA460" s="26" t="s">
        <v>1129</v>
      </c>
      <c r="BB460" s="26" t="s">
        <v>1148</v>
      </c>
      <c r="BC460" s="11">
        <f>AW460+AX460</f>
        <v>0</v>
      </c>
      <c r="BD460" s="11">
        <f>H460/(100-BE460)*100</f>
        <v>0</v>
      </c>
      <c r="BE460" s="11">
        <v>0</v>
      </c>
      <c r="BF460" s="11">
        <f>L460</f>
        <v>6456.9739999999993</v>
      </c>
      <c r="BH460" s="20">
        <f>G460*AO460</f>
        <v>0</v>
      </c>
      <c r="BI460" s="20">
        <f>G460*AP460</f>
        <v>0</v>
      </c>
      <c r="BJ460" s="20">
        <f>G460*H460</f>
        <v>0</v>
      </c>
      <c r="BK460" s="20" t="s">
        <v>1164</v>
      </c>
      <c r="BL460" s="11" t="s">
        <v>98</v>
      </c>
    </row>
    <row r="461" spans="1:64" x14ac:dyDescent="0.2">
      <c r="A461" s="35"/>
      <c r="B461" s="36"/>
      <c r="C461" s="81" t="s">
        <v>798</v>
      </c>
      <c r="D461" s="36"/>
      <c r="E461" s="82"/>
      <c r="F461" s="36"/>
      <c r="G461" s="83">
        <v>14.036899999999999</v>
      </c>
      <c r="H461" s="36"/>
      <c r="I461" s="36"/>
      <c r="J461" s="36"/>
      <c r="K461" s="36"/>
      <c r="L461" s="36"/>
      <c r="M461" s="35"/>
      <c r="N461" s="32"/>
    </row>
    <row r="462" spans="1:64" x14ac:dyDescent="0.2">
      <c r="A462" s="79" t="s">
        <v>280</v>
      </c>
      <c r="B462" s="79" t="s">
        <v>427</v>
      </c>
      <c r="C462" s="194" t="s">
        <v>709</v>
      </c>
      <c r="D462" s="195"/>
      <c r="E462" s="195"/>
      <c r="F462" s="79" t="s">
        <v>1048</v>
      </c>
      <c r="G462" s="80">
        <v>98.258300000000006</v>
      </c>
      <c r="H462" s="80">
        <v>0</v>
      </c>
      <c r="I462" s="80">
        <f>G462*AO462</f>
        <v>0</v>
      </c>
      <c r="J462" s="80">
        <f>G462*AP462</f>
        <v>0</v>
      </c>
      <c r="K462" s="80">
        <f>G462*H462</f>
        <v>0</v>
      </c>
      <c r="L462" s="80">
        <f>G462*462</f>
        <v>45395.334600000002</v>
      </c>
      <c r="M462" s="94" t="s">
        <v>1066</v>
      </c>
      <c r="N462" s="32"/>
      <c r="Z462" s="11">
        <f>IF(AQ462="5",BJ462,0)</f>
        <v>0</v>
      </c>
      <c r="AB462" s="11">
        <f>IF(AQ462="1",BH462,0)</f>
        <v>0</v>
      </c>
      <c r="AC462" s="11">
        <f>IF(AQ462="1",BI462,0)</f>
        <v>0</v>
      </c>
      <c r="AD462" s="11">
        <f>IF(AQ462="7",BH462,0)</f>
        <v>0</v>
      </c>
      <c r="AE462" s="11">
        <f>IF(AQ462="7",BI462,0)</f>
        <v>0</v>
      </c>
      <c r="AF462" s="11">
        <f>IF(AQ462="2",BH462,0)</f>
        <v>0</v>
      </c>
      <c r="AG462" s="11">
        <f>IF(AQ462="2",BI462,0)</f>
        <v>0</v>
      </c>
      <c r="AH462" s="11">
        <f>IF(AQ462="0",BJ462,0)</f>
        <v>0</v>
      </c>
      <c r="AI462" s="26" t="s">
        <v>77</v>
      </c>
      <c r="AJ462" s="20">
        <f>IF(AN462=0,K462,0)</f>
        <v>0</v>
      </c>
      <c r="AK462" s="20">
        <f>IF(AN462=15,K462,0)</f>
        <v>0</v>
      </c>
      <c r="AL462" s="20">
        <f>IF(AN462=21,K462,0)</f>
        <v>0</v>
      </c>
      <c r="AN462" s="11">
        <v>21</v>
      </c>
      <c r="AO462" s="11">
        <f>H462*0</f>
        <v>0</v>
      </c>
      <c r="AP462" s="11">
        <f>H462*(1-0)</f>
        <v>0</v>
      </c>
      <c r="AQ462" s="27" t="s">
        <v>142</v>
      </c>
      <c r="AV462" s="11">
        <f>AW462+AX462</f>
        <v>0</v>
      </c>
      <c r="AW462" s="11">
        <f>G462*AO462</f>
        <v>0</v>
      </c>
      <c r="AX462" s="11">
        <f>G462*AP462</f>
        <v>0</v>
      </c>
      <c r="AY462" s="29" t="s">
        <v>1091</v>
      </c>
      <c r="AZ462" s="29" t="s">
        <v>1116</v>
      </c>
      <c r="BA462" s="26" t="s">
        <v>1129</v>
      </c>
      <c r="BB462" s="26" t="s">
        <v>1148</v>
      </c>
      <c r="BC462" s="11">
        <f>AW462+AX462</f>
        <v>0</v>
      </c>
      <c r="BD462" s="11">
        <f>H462/(100-BE462)*100</f>
        <v>0</v>
      </c>
      <c r="BE462" s="11">
        <v>0</v>
      </c>
      <c r="BF462" s="11">
        <f>L462</f>
        <v>45395.334600000002</v>
      </c>
      <c r="BH462" s="20">
        <f>G462*AO462</f>
        <v>0</v>
      </c>
      <c r="BI462" s="20">
        <f>G462*AP462</f>
        <v>0</v>
      </c>
      <c r="BJ462" s="20">
        <f>G462*H462</f>
        <v>0</v>
      </c>
      <c r="BK462" s="20" t="s">
        <v>1164</v>
      </c>
      <c r="BL462" s="11" t="s">
        <v>98</v>
      </c>
    </row>
    <row r="463" spans="1:64" x14ac:dyDescent="0.2">
      <c r="A463" s="35"/>
      <c r="B463" s="36"/>
      <c r="C463" s="81" t="s">
        <v>799</v>
      </c>
      <c r="D463" s="36"/>
      <c r="E463" s="82"/>
      <c r="F463" s="36"/>
      <c r="G463" s="83">
        <v>98.258300000000006</v>
      </c>
      <c r="H463" s="36"/>
      <c r="I463" s="36"/>
      <c r="J463" s="36"/>
      <c r="K463" s="36"/>
      <c r="L463" s="36"/>
      <c r="M463" s="35"/>
      <c r="N463" s="32"/>
    </row>
    <row r="464" spans="1:64" x14ac:dyDescent="0.2">
      <c r="A464" s="79" t="s">
        <v>281</v>
      </c>
      <c r="B464" s="79" t="s">
        <v>428</v>
      </c>
      <c r="C464" s="194" t="s">
        <v>711</v>
      </c>
      <c r="D464" s="195"/>
      <c r="E464" s="195"/>
      <c r="F464" s="79" t="s">
        <v>1048</v>
      </c>
      <c r="G464" s="80">
        <v>14.036899999999999</v>
      </c>
      <c r="H464" s="80">
        <v>0</v>
      </c>
      <c r="I464" s="80">
        <f>G464*AO464</f>
        <v>0</v>
      </c>
      <c r="J464" s="80">
        <f>G464*AP464</f>
        <v>0</v>
      </c>
      <c r="K464" s="80">
        <f>G464*H464</f>
        <v>0</v>
      </c>
      <c r="L464" s="80">
        <f>G464*464</f>
        <v>6513.1215999999995</v>
      </c>
      <c r="M464" s="94" t="s">
        <v>1066</v>
      </c>
      <c r="N464" s="32"/>
      <c r="Z464" s="11">
        <f>IF(AQ464="5",BJ464,0)</f>
        <v>0</v>
      </c>
      <c r="AB464" s="11">
        <f>IF(AQ464="1",BH464,0)</f>
        <v>0</v>
      </c>
      <c r="AC464" s="11">
        <f>IF(AQ464="1",BI464,0)</f>
        <v>0</v>
      </c>
      <c r="AD464" s="11">
        <f>IF(AQ464="7",BH464,0)</f>
        <v>0</v>
      </c>
      <c r="AE464" s="11">
        <f>IF(AQ464="7",BI464,0)</f>
        <v>0</v>
      </c>
      <c r="AF464" s="11">
        <f>IF(AQ464="2",BH464,0)</f>
        <v>0</v>
      </c>
      <c r="AG464" s="11">
        <f>IF(AQ464="2",BI464,0)</f>
        <v>0</v>
      </c>
      <c r="AH464" s="11">
        <f>IF(AQ464="0",BJ464,0)</f>
        <v>0</v>
      </c>
      <c r="AI464" s="26" t="s">
        <v>77</v>
      </c>
      <c r="AJ464" s="20">
        <f>IF(AN464=0,K464,0)</f>
        <v>0</v>
      </c>
      <c r="AK464" s="20">
        <f>IF(AN464=15,K464,0)</f>
        <v>0</v>
      </c>
      <c r="AL464" s="20">
        <f>IF(AN464=21,K464,0)</f>
        <v>0</v>
      </c>
      <c r="AN464" s="11">
        <v>21</v>
      </c>
      <c r="AO464" s="11">
        <f>H464*0</f>
        <v>0</v>
      </c>
      <c r="AP464" s="11">
        <f>H464*(1-0)</f>
        <v>0</v>
      </c>
      <c r="AQ464" s="27" t="s">
        <v>142</v>
      </c>
      <c r="AV464" s="11">
        <f>AW464+AX464</f>
        <v>0</v>
      </c>
      <c r="AW464" s="11">
        <f>G464*AO464</f>
        <v>0</v>
      </c>
      <c r="AX464" s="11">
        <f>G464*AP464</f>
        <v>0</v>
      </c>
      <c r="AY464" s="29" t="s">
        <v>1091</v>
      </c>
      <c r="AZ464" s="29" t="s">
        <v>1116</v>
      </c>
      <c r="BA464" s="26" t="s">
        <v>1129</v>
      </c>
      <c r="BB464" s="26" t="s">
        <v>1148</v>
      </c>
      <c r="BC464" s="11">
        <f>AW464+AX464</f>
        <v>0</v>
      </c>
      <c r="BD464" s="11">
        <f>H464/(100-BE464)*100</f>
        <v>0</v>
      </c>
      <c r="BE464" s="11">
        <v>0</v>
      </c>
      <c r="BF464" s="11">
        <f>L464</f>
        <v>6513.1215999999995</v>
      </c>
      <c r="BH464" s="20">
        <f>G464*AO464</f>
        <v>0</v>
      </c>
      <c r="BI464" s="20">
        <f>G464*AP464</f>
        <v>0</v>
      </c>
      <c r="BJ464" s="20">
        <f>G464*H464</f>
        <v>0</v>
      </c>
      <c r="BK464" s="20" t="s">
        <v>1164</v>
      </c>
      <c r="BL464" s="11" t="s">
        <v>98</v>
      </c>
    </row>
    <row r="465" spans="1:64" x14ac:dyDescent="0.2">
      <c r="A465" s="35"/>
      <c r="B465" s="36"/>
      <c r="C465" s="81" t="s">
        <v>798</v>
      </c>
      <c r="D465" s="36"/>
      <c r="E465" s="82"/>
      <c r="F465" s="36"/>
      <c r="G465" s="83">
        <v>14.036899999999999</v>
      </c>
      <c r="H465" s="36"/>
      <c r="I465" s="36"/>
      <c r="J465" s="36"/>
      <c r="K465" s="36"/>
      <c r="L465" s="36"/>
      <c r="M465" s="35"/>
      <c r="N465" s="32"/>
    </row>
    <row r="466" spans="1:64" x14ac:dyDescent="0.2">
      <c r="A466" s="79" t="s">
        <v>282</v>
      </c>
      <c r="B466" s="79" t="s">
        <v>429</v>
      </c>
      <c r="C466" s="194" t="s">
        <v>712</v>
      </c>
      <c r="D466" s="195"/>
      <c r="E466" s="195"/>
      <c r="F466" s="79" t="s">
        <v>1048</v>
      </c>
      <c r="G466" s="80">
        <v>0.37259999999999999</v>
      </c>
      <c r="H466" s="80">
        <v>0</v>
      </c>
      <c r="I466" s="80">
        <f>G466*AO466</f>
        <v>0</v>
      </c>
      <c r="J466" s="80">
        <f>G466*AP466</f>
        <v>0</v>
      </c>
      <c r="K466" s="80">
        <f>G466*H466</f>
        <v>0</v>
      </c>
      <c r="L466" s="80">
        <f>G466*466</f>
        <v>173.63159999999999</v>
      </c>
      <c r="M466" s="94" t="s">
        <v>1066</v>
      </c>
      <c r="N466" s="32"/>
      <c r="Z466" s="11">
        <f>IF(AQ466="5",BJ466,0)</f>
        <v>0</v>
      </c>
      <c r="AB466" s="11">
        <f>IF(AQ466="1",BH466,0)</f>
        <v>0</v>
      </c>
      <c r="AC466" s="11">
        <f>IF(AQ466="1",BI466,0)</f>
        <v>0</v>
      </c>
      <c r="AD466" s="11">
        <f>IF(AQ466="7",BH466,0)</f>
        <v>0</v>
      </c>
      <c r="AE466" s="11">
        <f>IF(AQ466="7",BI466,0)</f>
        <v>0</v>
      </c>
      <c r="AF466" s="11">
        <f>IF(AQ466="2",BH466,0)</f>
        <v>0</v>
      </c>
      <c r="AG466" s="11">
        <f>IF(AQ466="2",BI466,0)</f>
        <v>0</v>
      </c>
      <c r="AH466" s="11">
        <f>IF(AQ466="0",BJ466,0)</f>
        <v>0</v>
      </c>
      <c r="AI466" s="26" t="s">
        <v>77</v>
      </c>
      <c r="AJ466" s="20">
        <f>IF(AN466=0,K466,0)</f>
        <v>0</v>
      </c>
      <c r="AK466" s="20">
        <f>IF(AN466=15,K466,0)</f>
        <v>0</v>
      </c>
      <c r="AL466" s="20">
        <f>IF(AN466=21,K466,0)</f>
        <v>0</v>
      </c>
      <c r="AN466" s="11">
        <v>21</v>
      </c>
      <c r="AO466" s="11">
        <f>H466*0</f>
        <v>0</v>
      </c>
      <c r="AP466" s="11">
        <f>H466*(1-0)</f>
        <v>0</v>
      </c>
      <c r="AQ466" s="27" t="s">
        <v>142</v>
      </c>
      <c r="AV466" s="11">
        <f>AW466+AX466</f>
        <v>0</v>
      </c>
      <c r="AW466" s="11">
        <f>G466*AO466</f>
        <v>0</v>
      </c>
      <c r="AX466" s="11">
        <f>G466*AP466</f>
        <v>0</v>
      </c>
      <c r="AY466" s="29" t="s">
        <v>1091</v>
      </c>
      <c r="AZ466" s="29" t="s">
        <v>1116</v>
      </c>
      <c r="BA466" s="26" t="s">
        <v>1129</v>
      </c>
      <c r="BB466" s="26" t="s">
        <v>1148</v>
      </c>
      <c r="BC466" s="11">
        <f>AW466+AX466</f>
        <v>0</v>
      </c>
      <c r="BD466" s="11">
        <f>H466/(100-BE466)*100</f>
        <v>0</v>
      </c>
      <c r="BE466" s="11">
        <v>0</v>
      </c>
      <c r="BF466" s="11">
        <f>L466</f>
        <v>173.63159999999999</v>
      </c>
      <c r="BH466" s="20">
        <f>G466*AO466</f>
        <v>0</v>
      </c>
      <c r="BI466" s="20">
        <f>G466*AP466</f>
        <v>0</v>
      </c>
      <c r="BJ466" s="20">
        <f>G466*H466</f>
        <v>0</v>
      </c>
      <c r="BK466" s="20" t="s">
        <v>1164</v>
      </c>
      <c r="BL466" s="11" t="s">
        <v>98</v>
      </c>
    </row>
    <row r="467" spans="1:64" x14ac:dyDescent="0.2">
      <c r="A467" s="35"/>
      <c r="B467" s="36"/>
      <c r="C467" s="81" t="s">
        <v>795</v>
      </c>
      <c r="D467" s="36"/>
      <c r="E467" s="82"/>
      <c r="F467" s="36"/>
      <c r="G467" s="83">
        <v>0.37259999999999999</v>
      </c>
      <c r="H467" s="36"/>
      <c r="I467" s="36"/>
      <c r="J467" s="36"/>
      <c r="K467" s="36"/>
      <c r="L467" s="36"/>
      <c r="M467" s="35"/>
      <c r="N467" s="32"/>
    </row>
    <row r="468" spans="1:64" x14ac:dyDescent="0.2">
      <c r="A468" s="79" t="s">
        <v>283</v>
      </c>
      <c r="B468" s="79" t="s">
        <v>430</v>
      </c>
      <c r="C468" s="194" t="s">
        <v>713</v>
      </c>
      <c r="D468" s="195"/>
      <c r="E468" s="195"/>
      <c r="F468" s="79" t="s">
        <v>1048</v>
      </c>
      <c r="G468" s="80">
        <v>13.664300000000001</v>
      </c>
      <c r="H468" s="80">
        <v>0</v>
      </c>
      <c r="I468" s="80">
        <f>G468*AO468</f>
        <v>0</v>
      </c>
      <c r="J468" s="80">
        <f>G468*AP468</f>
        <v>0</v>
      </c>
      <c r="K468" s="80">
        <f>G468*H468</f>
        <v>0</v>
      </c>
      <c r="L468" s="80">
        <f>G468*468</f>
        <v>6394.8924000000006</v>
      </c>
      <c r="M468" s="94" t="s">
        <v>1066</v>
      </c>
      <c r="N468" s="32"/>
      <c r="Z468" s="11">
        <f>IF(AQ468="5",BJ468,0)</f>
        <v>0</v>
      </c>
      <c r="AB468" s="11">
        <f>IF(AQ468="1",BH468,0)</f>
        <v>0</v>
      </c>
      <c r="AC468" s="11">
        <f>IF(AQ468="1",BI468,0)</f>
        <v>0</v>
      </c>
      <c r="AD468" s="11">
        <f>IF(AQ468="7",BH468,0)</f>
        <v>0</v>
      </c>
      <c r="AE468" s="11">
        <f>IF(AQ468="7",BI468,0)</f>
        <v>0</v>
      </c>
      <c r="AF468" s="11">
        <f>IF(AQ468="2",BH468,0)</f>
        <v>0</v>
      </c>
      <c r="AG468" s="11">
        <f>IF(AQ468="2",BI468,0)</f>
        <v>0</v>
      </c>
      <c r="AH468" s="11">
        <f>IF(AQ468="0",BJ468,0)</f>
        <v>0</v>
      </c>
      <c r="AI468" s="26" t="s">
        <v>77</v>
      </c>
      <c r="AJ468" s="20">
        <f>IF(AN468=0,K468,0)</f>
        <v>0</v>
      </c>
      <c r="AK468" s="20">
        <f>IF(AN468=15,K468,0)</f>
        <v>0</v>
      </c>
      <c r="AL468" s="20">
        <f>IF(AN468=21,K468,0)</f>
        <v>0</v>
      </c>
      <c r="AN468" s="11">
        <v>21</v>
      </c>
      <c r="AO468" s="11">
        <f>H468*0</f>
        <v>0</v>
      </c>
      <c r="AP468" s="11">
        <f>H468*(1-0)</f>
        <v>0</v>
      </c>
      <c r="AQ468" s="27" t="s">
        <v>142</v>
      </c>
      <c r="AV468" s="11">
        <f>AW468+AX468</f>
        <v>0</v>
      </c>
      <c r="AW468" s="11">
        <f>G468*AO468</f>
        <v>0</v>
      </c>
      <c r="AX468" s="11">
        <f>G468*AP468</f>
        <v>0</v>
      </c>
      <c r="AY468" s="29" t="s">
        <v>1091</v>
      </c>
      <c r="AZ468" s="29" t="s">
        <v>1116</v>
      </c>
      <c r="BA468" s="26" t="s">
        <v>1129</v>
      </c>
      <c r="BB468" s="26" t="s">
        <v>1148</v>
      </c>
      <c r="BC468" s="11">
        <f>AW468+AX468</f>
        <v>0</v>
      </c>
      <c r="BD468" s="11">
        <f>H468/(100-BE468)*100</f>
        <v>0</v>
      </c>
      <c r="BE468" s="11">
        <v>0</v>
      </c>
      <c r="BF468" s="11">
        <f>L468</f>
        <v>6394.8924000000006</v>
      </c>
      <c r="BH468" s="20">
        <f>G468*AO468</f>
        <v>0</v>
      </c>
      <c r="BI468" s="20">
        <f>G468*AP468</f>
        <v>0</v>
      </c>
      <c r="BJ468" s="20">
        <f>G468*H468</f>
        <v>0</v>
      </c>
      <c r="BK468" s="20" t="s">
        <v>1164</v>
      </c>
      <c r="BL468" s="11" t="s">
        <v>98</v>
      </c>
    </row>
    <row r="469" spans="1:64" x14ac:dyDescent="0.2">
      <c r="A469" s="35"/>
      <c r="B469" s="36"/>
      <c r="C469" s="81" t="s">
        <v>800</v>
      </c>
      <c r="D469" s="36"/>
      <c r="E469" s="82"/>
      <c r="F469" s="36"/>
      <c r="G469" s="83">
        <v>13.664300000000001</v>
      </c>
      <c r="H469" s="36"/>
      <c r="I469" s="36"/>
      <c r="J469" s="36"/>
      <c r="K469" s="36"/>
      <c r="L469" s="36"/>
      <c r="M469" s="35"/>
      <c r="N469" s="32"/>
    </row>
    <row r="470" spans="1:64" x14ac:dyDescent="0.2">
      <c r="A470" s="77"/>
      <c r="B470" s="76" t="s">
        <v>99</v>
      </c>
      <c r="C470" s="204" t="s">
        <v>125</v>
      </c>
      <c r="D470" s="205"/>
      <c r="E470" s="205"/>
      <c r="F470" s="77" t="s">
        <v>60</v>
      </c>
      <c r="G470" s="77" t="s">
        <v>60</v>
      </c>
      <c r="H470" s="77" t="s">
        <v>60</v>
      </c>
      <c r="I470" s="78">
        <f>SUM(I471:I471)</f>
        <v>0</v>
      </c>
      <c r="J470" s="78">
        <f>SUM(J471:J471)</f>
        <v>0</v>
      </c>
      <c r="K470" s="78">
        <f>SUM(K471:K471)</f>
        <v>0</v>
      </c>
      <c r="L470" s="78">
        <f>SUM(L471:L471)</f>
        <v>471</v>
      </c>
      <c r="M470" s="93"/>
      <c r="N470" s="32"/>
      <c r="AI470" s="26" t="s">
        <v>77</v>
      </c>
      <c r="AS470" s="31">
        <f>SUM(AJ471:AJ471)</f>
        <v>0</v>
      </c>
      <c r="AT470" s="31">
        <f>SUM(AK471:AK471)</f>
        <v>0</v>
      </c>
      <c r="AU470" s="31">
        <f>SUM(AL471:AL471)</f>
        <v>0</v>
      </c>
    </row>
    <row r="471" spans="1:64" x14ac:dyDescent="0.2">
      <c r="A471" s="79" t="s">
        <v>284</v>
      </c>
      <c r="B471" s="79" t="s">
        <v>431</v>
      </c>
      <c r="C471" s="194" t="s">
        <v>715</v>
      </c>
      <c r="D471" s="195"/>
      <c r="E471" s="195"/>
      <c r="F471" s="79" t="s">
        <v>1052</v>
      </c>
      <c r="G471" s="80">
        <v>1</v>
      </c>
      <c r="H471" s="80">
        <v>0</v>
      </c>
      <c r="I471" s="80">
        <f>G471*AO471</f>
        <v>0</v>
      </c>
      <c r="J471" s="80">
        <f>G471*AP471</f>
        <v>0</v>
      </c>
      <c r="K471" s="80">
        <f>G471*H471</f>
        <v>0</v>
      </c>
      <c r="L471" s="80">
        <f>G471*471</f>
        <v>471</v>
      </c>
      <c r="M471" s="94" t="s">
        <v>1067</v>
      </c>
      <c r="N471" s="32"/>
      <c r="Z471" s="11">
        <f>IF(AQ471="5",BJ471,0)</f>
        <v>0</v>
      </c>
      <c r="AB471" s="11">
        <f>IF(AQ471="1",BH471,0)</f>
        <v>0</v>
      </c>
      <c r="AC471" s="11">
        <f>IF(AQ471="1",BI471,0)</f>
        <v>0</v>
      </c>
      <c r="AD471" s="11">
        <f>IF(AQ471="7",BH471,0)</f>
        <v>0</v>
      </c>
      <c r="AE471" s="11">
        <f>IF(AQ471="7",BI471,0)</f>
        <v>0</v>
      </c>
      <c r="AF471" s="11">
        <f>IF(AQ471="2",BH471,0)</f>
        <v>0</v>
      </c>
      <c r="AG471" s="11">
        <f>IF(AQ471="2",BI471,0)</f>
        <v>0</v>
      </c>
      <c r="AH471" s="11">
        <f>IF(AQ471="0",BJ471,0)</f>
        <v>0</v>
      </c>
      <c r="AI471" s="26" t="s">
        <v>77</v>
      </c>
      <c r="AJ471" s="20">
        <f>IF(AN471=0,K471,0)</f>
        <v>0</v>
      </c>
      <c r="AK471" s="20">
        <f>IF(AN471=15,K471,0)</f>
        <v>0</v>
      </c>
      <c r="AL471" s="20">
        <f>IF(AN471=21,K471,0)</f>
        <v>0</v>
      </c>
      <c r="AN471" s="11">
        <v>21</v>
      </c>
      <c r="AO471" s="11">
        <f>H471*0</f>
        <v>0</v>
      </c>
      <c r="AP471" s="11">
        <f>H471*(1-0)</f>
        <v>0</v>
      </c>
      <c r="AQ471" s="27" t="s">
        <v>138</v>
      </c>
      <c r="AV471" s="11">
        <f>AW471+AX471</f>
        <v>0</v>
      </c>
      <c r="AW471" s="11">
        <f>G471*AO471</f>
        <v>0</v>
      </c>
      <c r="AX471" s="11">
        <f>G471*AP471</f>
        <v>0</v>
      </c>
      <c r="AY471" s="29" t="s">
        <v>1092</v>
      </c>
      <c r="AZ471" s="29" t="s">
        <v>1117</v>
      </c>
      <c r="BA471" s="26" t="s">
        <v>1129</v>
      </c>
      <c r="BB471" s="26" t="s">
        <v>1149</v>
      </c>
      <c r="BC471" s="11">
        <f>AW471+AX471</f>
        <v>0</v>
      </c>
      <c r="BD471" s="11">
        <f>H471/(100-BE471)*100</f>
        <v>0</v>
      </c>
      <c r="BE471" s="11">
        <v>0</v>
      </c>
      <c r="BF471" s="11">
        <f>L471</f>
        <v>471</v>
      </c>
      <c r="BH471" s="20">
        <f>G471*AO471</f>
        <v>0</v>
      </c>
      <c r="BI471" s="20">
        <f>G471*AP471</f>
        <v>0</v>
      </c>
      <c r="BJ471" s="20">
        <f>G471*H471</f>
        <v>0</v>
      </c>
      <c r="BK471" s="20" t="s">
        <v>1164</v>
      </c>
      <c r="BL471" s="11" t="s">
        <v>99</v>
      </c>
    </row>
    <row r="472" spans="1:64" x14ac:dyDescent="0.2">
      <c r="A472" s="88"/>
      <c r="B472" s="87"/>
      <c r="C472" s="202" t="s">
        <v>64</v>
      </c>
      <c r="D472" s="203"/>
      <c r="E472" s="203"/>
      <c r="F472" s="88" t="s">
        <v>60</v>
      </c>
      <c r="G472" s="88" t="s">
        <v>60</v>
      </c>
      <c r="H472" s="88" t="s">
        <v>60</v>
      </c>
      <c r="I472" s="89">
        <f>I473+I481+I485+I523+I528+I532+I536</f>
        <v>0</v>
      </c>
      <c r="J472" s="89">
        <f>J473+J481+J485+J523+J528+J532+J536</f>
        <v>0</v>
      </c>
      <c r="K472" s="89">
        <f>K473+K481+K485+K523+K528+K532+K536</f>
        <v>0</v>
      </c>
      <c r="L472" s="89">
        <f>L473+L481+L485+L523+L528+L532+L536</f>
        <v>369395.66547999997</v>
      </c>
      <c r="M472" s="96"/>
      <c r="N472" s="32"/>
    </row>
    <row r="473" spans="1:64" x14ac:dyDescent="0.2">
      <c r="A473" s="77"/>
      <c r="B473" s="76" t="s">
        <v>86</v>
      </c>
      <c r="C473" s="204" t="s">
        <v>112</v>
      </c>
      <c r="D473" s="205"/>
      <c r="E473" s="205"/>
      <c r="F473" s="77" t="s">
        <v>60</v>
      </c>
      <c r="G473" s="77" t="s">
        <v>60</v>
      </c>
      <c r="H473" s="77" t="s">
        <v>60</v>
      </c>
      <c r="I473" s="78">
        <f>SUM(I474:I474)</f>
        <v>0</v>
      </c>
      <c r="J473" s="78">
        <f>SUM(J474:J474)</f>
        <v>0</v>
      </c>
      <c r="K473" s="78">
        <f>SUM(K474:K474)</f>
        <v>0</v>
      </c>
      <c r="L473" s="78">
        <f>SUM(L474:L474)</f>
        <v>17020.865999999998</v>
      </c>
      <c r="M473" s="93"/>
      <c r="N473" s="32"/>
      <c r="AI473" s="26" t="s">
        <v>78</v>
      </c>
      <c r="AS473" s="31">
        <f>SUM(AJ474:AJ474)</f>
        <v>0</v>
      </c>
      <c r="AT473" s="31">
        <f>SUM(AK474:AK474)</f>
        <v>0</v>
      </c>
      <c r="AU473" s="31">
        <f>SUM(AL474:AL474)</f>
        <v>0</v>
      </c>
    </row>
    <row r="474" spans="1:64" x14ac:dyDescent="0.2">
      <c r="A474" s="79" t="s">
        <v>285</v>
      </c>
      <c r="B474" s="79" t="s">
        <v>367</v>
      </c>
      <c r="C474" s="194" t="s">
        <v>549</v>
      </c>
      <c r="D474" s="195"/>
      <c r="E474" s="195"/>
      <c r="F474" s="79" t="s">
        <v>1050</v>
      </c>
      <c r="G474" s="80">
        <v>35.908999999999999</v>
      </c>
      <c r="H474" s="80">
        <v>0</v>
      </c>
      <c r="I474" s="80">
        <f>G474*AO474</f>
        <v>0</v>
      </c>
      <c r="J474" s="80">
        <f>G474*AP474</f>
        <v>0</v>
      </c>
      <c r="K474" s="80">
        <f>G474*H474</f>
        <v>0</v>
      </c>
      <c r="L474" s="80">
        <f>G474*474</f>
        <v>17020.865999999998</v>
      </c>
      <c r="M474" s="94" t="s">
        <v>1066</v>
      </c>
      <c r="N474" s="32"/>
      <c r="Z474" s="11">
        <f>IF(AQ474="5",BJ474,0)</f>
        <v>0</v>
      </c>
      <c r="AB474" s="11">
        <f>IF(AQ474="1",BH474,0)</f>
        <v>0</v>
      </c>
      <c r="AC474" s="11">
        <f>IF(AQ474="1",BI474,0)</f>
        <v>0</v>
      </c>
      <c r="AD474" s="11">
        <f>IF(AQ474="7",BH474,0)</f>
        <v>0</v>
      </c>
      <c r="AE474" s="11">
        <f>IF(AQ474="7",BI474,0)</f>
        <v>0</v>
      </c>
      <c r="AF474" s="11">
        <f>IF(AQ474="2",BH474,0)</f>
        <v>0</v>
      </c>
      <c r="AG474" s="11">
        <f>IF(AQ474="2",BI474,0)</f>
        <v>0</v>
      </c>
      <c r="AH474" s="11">
        <f>IF(AQ474="0",BJ474,0)</f>
        <v>0</v>
      </c>
      <c r="AI474" s="26" t="s">
        <v>78</v>
      </c>
      <c r="AJ474" s="20">
        <f>IF(AN474=0,K474,0)</f>
        <v>0</v>
      </c>
      <c r="AK474" s="20">
        <f>IF(AN474=15,K474,0)</f>
        <v>0</v>
      </c>
      <c r="AL474" s="20">
        <f>IF(AN474=21,K474,0)</f>
        <v>0</v>
      </c>
      <c r="AN474" s="11">
        <v>21</v>
      </c>
      <c r="AO474" s="11">
        <f>H474*0.297197961938721</f>
        <v>0</v>
      </c>
      <c r="AP474" s="11">
        <f>H474*(1-0.297197961938721)</f>
        <v>0</v>
      </c>
      <c r="AQ474" s="27" t="s">
        <v>138</v>
      </c>
      <c r="AV474" s="11">
        <f>AW474+AX474</f>
        <v>0</v>
      </c>
      <c r="AW474" s="11">
        <f>G474*AO474</f>
        <v>0</v>
      </c>
      <c r="AX474" s="11">
        <f>G474*AP474</f>
        <v>0</v>
      </c>
      <c r="AY474" s="29" t="s">
        <v>1079</v>
      </c>
      <c r="AZ474" s="29" t="s">
        <v>1118</v>
      </c>
      <c r="BA474" s="26" t="s">
        <v>1130</v>
      </c>
      <c r="BB474" s="26" t="s">
        <v>1136</v>
      </c>
      <c r="BC474" s="11">
        <f>AW474+AX474</f>
        <v>0</v>
      </c>
      <c r="BD474" s="11">
        <f>H474/(100-BE474)*100</f>
        <v>0</v>
      </c>
      <c r="BE474" s="11">
        <v>0</v>
      </c>
      <c r="BF474" s="11">
        <f>L474</f>
        <v>17020.865999999998</v>
      </c>
      <c r="BH474" s="20">
        <f>G474*AO474</f>
        <v>0</v>
      </c>
      <c r="BI474" s="20">
        <f>G474*AP474</f>
        <v>0</v>
      </c>
      <c r="BJ474" s="20">
        <f>G474*H474</f>
        <v>0</v>
      </c>
      <c r="BK474" s="20" t="s">
        <v>1164</v>
      </c>
      <c r="BL474" s="11">
        <v>61</v>
      </c>
    </row>
    <row r="475" spans="1:64" x14ac:dyDescent="0.2">
      <c r="A475" s="35"/>
      <c r="B475" s="86" t="s">
        <v>354</v>
      </c>
      <c r="C475" s="196" t="s">
        <v>550</v>
      </c>
      <c r="D475" s="197"/>
      <c r="E475" s="197"/>
      <c r="F475" s="197"/>
      <c r="G475" s="197"/>
      <c r="H475" s="197"/>
      <c r="I475" s="197"/>
      <c r="J475" s="197"/>
      <c r="K475" s="197"/>
      <c r="L475" s="197"/>
      <c r="M475" s="197"/>
      <c r="N475" s="32"/>
    </row>
    <row r="476" spans="1:64" x14ac:dyDescent="0.2">
      <c r="A476" s="35"/>
      <c r="B476" s="36"/>
      <c r="C476" s="81" t="s">
        <v>801</v>
      </c>
      <c r="D476" s="36"/>
      <c r="E476" s="82" t="s">
        <v>924</v>
      </c>
      <c r="F476" s="36"/>
      <c r="G476" s="83">
        <v>3</v>
      </c>
      <c r="H476" s="36"/>
      <c r="I476" s="36"/>
      <c r="J476" s="36"/>
      <c r="K476" s="36"/>
      <c r="L476" s="36"/>
      <c r="M476" s="35"/>
      <c r="N476" s="32"/>
    </row>
    <row r="477" spans="1:64" x14ac:dyDescent="0.2">
      <c r="A477" s="35"/>
      <c r="B477" s="36"/>
      <c r="C477" s="81" t="s">
        <v>802</v>
      </c>
      <c r="D477" s="36"/>
      <c r="E477" s="82" t="s">
        <v>1016</v>
      </c>
      <c r="F477" s="36"/>
      <c r="G477" s="83">
        <v>2.34</v>
      </c>
      <c r="H477" s="36"/>
      <c r="I477" s="36"/>
      <c r="J477" s="36"/>
      <c r="K477" s="36"/>
      <c r="L477" s="36"/>
      <c r="M477" s="35"/>
      <c r="N477" s="32"/>
    </row>
    <row r="478" spans="1:64" x14ac:dyDescent="0.2">
      <c r="A478" s="35"/>
      <c r="B478" s="36"/>
      <c r="C478" s="81" t="s">
        <v>678</v>
      </c>
      <c r="D478" s="36"/>
      <c r="E478" s="82" t="s">
        <v>1017</v>
      </c>
      <c r="F478" s="36"/>
      <c r="G478" s="83">
        <v>1.6</v>
      </c>
      <c r="H478" s="36"/>
      <c r="I478" s="36"/>
      <c r="J478" s="36"/>
      <c r="K478" s="36"/>
      <c r="L478" s="36"/>
      <c r="M478" s="35"/>
      <c r="N478" s="32"/>
    </row>
    <row r="479" spans="1:64" x14ac:dyDescent="0.2">
      <c r="A479" s="35"/>
      <c r="B479" s="36"/>
      <c r="C479" s="81" t="s">
        <v>524</v>
      </c>
      <c r="D479" s="36"/>
      <c r="E479" s="82" t="s">
        <v>1018</v>
      </c>
      <c r="F479" s="36"/>
      <c r="G479" s="83">
        <v>3.6</v>
      </c>
      <c r="H479" s="36"/>
      <c r="I479" s="36"/>
      <c r="J479" s="36"/>
      <c r="K479" s="36"/>
      <c r="L479" s="36"/>
      <c r="M479" s="35"/>
      <c r="N479" s="32"/>
    </row>
    <row r="480" spans="1:64" x14ac:dyDescent="0.2">
      <c r="A480" s="35"/>
      <c r="B480" s="36"/>
      <c r="C480" s="81" t="s">
        <v>803</v>
      </c>
      <c r="D480" s="36"/>
      <c r="E480" s="82" t="s">
        <v>1019</v>
      </c>
      <c r="F480" s="36"/>
      <c r="G480" s="83">
        <v>25.369</v>
      </c>
      <c r="H480" s="36"/>
      <c r="I480" s="36"/>
      <c r="J480" s="36"/>
      <c r="K480" s="36"/>
      <c r="L480" s="36"/>
      <c r="M480" s="35"/>
      <c r="N480" s="32"/>
    </row>
    <row r="481" spans="1:64" x14ac:dyDescent="0.2">
      <c r="A481" s="77"/>
      <c r="B481" s="76" t="s">
        <v>101</v>
      </c>
      <c r="C481" s="204" t="s">
        <v>126</v>
      </c>
      <c r="D481" s="205"/>
      <c r="E481" s="205"/>
      <c r="F481" s="77" t="s">
        <v>60</v>
      </c>
      <c r="G481" s="77" t="s">
        <v>60</v>
      </c>
      <c r="H481" s="77" t="s">
        <v>60</v>
      </c>
      <c r="I481" s="78">
        <f>SUM(I482:I482)</f>
        <v>0</v>
      </c>
      <c r="J481" s="78">
        <f>SUM(J482:J482)</f>
        <v>0</v>
      </c>
      <c r="K481" s="78">
        <f>SUM(K482:K482)</f>
        <v>0</v>
      </c>
      <c r="L481" s="78">
        <f>SUM(L482:L482)</f>
        <v>16870</v>
      </c>
      <c r="M481" s="93"/>
      <c r="N481" s="32"/>
      <c r="AI481" s="26" t="s">
        <v>78</v>
      </c>
      <c r="AS481" s="31">
        <f>SUM(AJ482:AJ482)</f>
        <v>0</v>
      </c>
      <c r="AT481" s="31">
        <f>SUM(AK482:AK482)</f>
        <v>0</v>
      </c>
      <c r="AU481" s="31">
        <f>SUM(AL482:AL482)</f>
        <v>0</v>
      </c>
    </row>
    <row r="482" spans="1:64" x14ac:dyDescent="0.2">
      <c r="A482" s="79" t="s">
        <v>286</v>
      </c>
      <c r="B482" s="79" t="s">
        <v>441</v>
      </c>
      <c r="C482" s="194" t="s">
        <v>804</v>
      </c>
      <c r="D482" s="195"/>
      <c r="E482" s="195"/>
      <c r="F482" s="79" t="s">
        <v>1051</v>
      </c>
      <c r="G482" s="80">
        <v>35</v>
      </c>
      <c r="H482" s="80">
        <v>0</v>
      </c>
      <c r="I482" s="80">
        <f>G482*AO482</f>
        <v>0</v>
      </c>
      <c r="J482" s="80">
        <f>G482*AP482</f>
        <v>0</v>
      </c>
      <c r="K482" s="80">
        <f>G482*H482</f>
        <v>0</v>
      </c>
      <c r="L482" s="80">
        <f>G482*482</f>
        <v>16870</v>
      </c>
      <c r="M482" s="94" t="s">
        <v>1066</v>
      </c>
      <c r="N482" s="32"/>
      <c r="Z482" s="11">
        <f>IF(AQ482="5",BJ482,0)</f>
        <v>0</v>
      </c>
      <c r="AB482" s="11">
        <f>IF(AQ482="1",BH482,0)</f>
        <v>0</v>
      </c>
      <c r="AC482" s="11">
        <f>IF(AQ482="1",BI482,0)</f>
        <v>0</v>
      </c>
      <c r="AD482" s="11">
        <f>IF(AQ482="7",BH482,0)</f>
        <v>0</v>
      </c>
      <c r="AE482" s="11">
        <f>IF(AQ482="7",BI482,0)</f>
        <v>0</v>
      </c>
      <c r="AF482" s="11">
        <f>IF(AQ482="2",BH482,0)</f>
        <v>0</v>
      </c>
      <c r="AG482" s="11">
        <f>IF(AQ482="2",BI482,0)</f>
        <v>0</v>
      </c>
      <c r="AH482" s="11">
        <f>IF(AQ482="0",BJ482,0)</f>
        <v>0</v>
      </c>
      <c r="AI482" s="26" t="s">
        <v>78</v>
      </c>
      <c r="AJ482" s="20">
        <f>IF(AN482=0,K482,0)</f>
        <v>0</v>
      </c>
      <c r="AK482" s="20">
        <f>IF(AN482=15,K482,0)</f>
        <v>0</v>
      </c>
      <c r="AL482" s="20">
        <f>IF(AN482=21,K482,0)</f>
        <v>0</v>
      </c>
      <c r="AN482" s="11">
        <v>21</v>
      </c>
      <c r="AO482" s="11">
        <f>H482*0.0141891891891892</f>
        <v>0</v>
      </c>
      <c r="AP482" s="11">
        <f>H482*(1-0.0141891891891892)</f>
        <v>0</v>
      </c>
      <c r="AQ482" s="27" t="s">
        <v>144</v>
      </c>
      <c r="AV482" s="11">
        <f>AW482+AX482</f>
        <v>0</v>
      </c>
      <c r="AW482" s="11">
        <f>G482*AO482</f>
        <v>0</v>
      </c>
      <c r="AX482" s="11">
        <f>G482*AP482</f>
        <v>0</v>
      </c>
      <c r="AY482" s="29" t="s">
        <v>1094</v>
      </c>
      <c r="AZ482" s="29" t="s">
        <v>1119</v>
      </c>
      <c r="BA482" s="26" t="s">
        <v>1130</v>
      </c>
      <c r="BB482" s="26" t="s">
        <v>1151</v>
      </c>
      <c r="BC482" s="11">
        <f>AW482+AX482</f>
        <v>0</v>
      </c>
      <c r="BD482" s="11">
        <f>H482/(100-BE482)*100</f>
        <v>0</v>
      </c>
      <c r="BE482" s="11">
        <v>0</v>
      </c>
      <c r="BF482" s="11">
        <f>L482</f>
        <v>16870</v>
      </c>
      <c r="BH482" s="20">
        <f>G482*AO482</f>
        <v>0</v>
      </c>
      <c r="BI482" s="20">
        <f>G482*AP482</f>
        <v>0</v>
      </c>
      <c r="BJ482" s="20">
        <f>G482*H482</f>
        <v>0</v>
      </c>
      <c r="BK482" s="20" t="s">
        <v>1164</v>
      </c>
      <c r="BL482" s="11">
        <v>722</v>
      </c>
    </row>
    <row r="483" spans="1:64" x14ac:dyDescent="0.2">
      <c r="A483" s="35"/>
      <c r="B483" s="86" t="s">
        <v>354</v>
      </c>
      <c r="C483" s="196" t="s">
        <v>805</v>
      </c>
      <c r="D483" s="197"/>
      <c r="E483" s="197"/>
      <c r="F483" s="197"/>
      <c r="G483" s="197"/>
      <c r="H483" s="197"/>
      <c r="I483" s="197"/>
      <c r="J483" s="197"/>
      <c r="K483" s="197"/>
      <c r="L483" s="197"/>
      <c r="M483" s="197"/>
      <c r="N483" s="32"/>
    </row>
    <row r="484" spans="1:64" x14ac:dyDescent="0.2">
      <c r="A484" s="35"/>
      <c r="B484" s="36"/>
      <c r="C484" s="81" t="s">
        <v>806</v>
      </c>
      <c r="D484" s="36"/>
      <c r="E484" s="82"/>
      <c r="F484" s="36"/>
      <c r="G484" s="83">
        <v>35</v>
      </c>
      <c r="H484" s="36"/>
      <c r="I484" s="36"/>
      <c r="J484" s="36"/>
      <c r="K484" s="36"/>
      <c r="L484" s="36"/>
      <c r="M484" s="35"/>
      <c r="N484" s="32"/>
    </row>
    <row r="485" spans="1:64" x14ac:dyDescent="0.2">
      <c r="A485" s="77"/>
      <c r="B485" s="76" t="s">
        <v>92</v>
      </c>
      <c r="C485" s="204" t="s">
        <v>118</v>
      </c>
      <c r="D485" s="205"/>
      <c r="E485" s="205"/>
      <c r="F485" s="77" t="s">
        <v>60</v>
      </c>
      <c r="G485" s="77" t="s">
        <v>60</v>
      </c>
      <c r="H485" s="77" t="s">
        <v>60</v>
      </c>
      <c r="I485" s="78">
        <f>SUM(I486:I519)</f>
        <v>0</v>
      </c>
      <c r="J485" s="78">
        <f>SUM(J486:J519)</f>
        <v>0</v>
      </c>
      <c r="K485" s="78">
        <f>SUM(K486:K519)</f>
        <v>0</v>
      </c>
      <c r="L485" s="78">
        <f>SUM(L486:L519)</f>
        <v>264107.72327999998</v>
      </c>
      <c r="M485" s="93"/>
      <c r="N485" s="32"/>
      <c r="AI485" s="26" t="s">
        <v>78</v>
      </c>
      <c r="AS485" s="31">
        <f>SUM(AJ486:AJ519)</f>
        <v>0</v>
      </c>
      <c r="AT485" s="31">
        <f>SUM(AK486:AK519)</f>
        <v>0</v>
      </c>
      <c r="AU485" s="31">
        <f>SUM(AL486:AL519)</f>
        <v>0</v>
      </c>
    </row>
    <row r="486" spans="1:64" x14ac:dyDescent="0.2">
      <c r="A486" s="79" t="s">
        <v>287</v>
      </c>
      <c r="B486" s="79" t="s">
        <v>442</v>
      </c>
      <c r="C486" s="194" t="s">
        <v>807</v>
      </c>
      <c r="D486" s="195"/>
      <c r="E486" s="195"/>
      <c r="F486" s="79" t="s">
        <v>1051</v>
      </c>
      <c r="G486" s="80">
        <v>34.4</v>
      </c>
      <c r="H486" s="80">
        <v>0</v>
      </c>
      <c r="I486" s="80">
        <f>G486*AO486</f>
        <v>0</v>
      </c>
      <c r="J486" s="80">
        <f>G486*AP486</f>
        <v>0</v>
      </c>
      <c r="K486" s="80">
        <f>G486*H486</f>
        <v>0</v>
      </c>
      <c r="L486" s="80">
        <f>G486*486</f>
        <v>16718.399999999998</v>
      </c>
      <c r="M486" s="94" t="s">
        <v>1066</v>
      </c>
      <c r="N486" s="32"/>
      <c r="Z486" s="11">
        <f>IF(AQ486="5",BJ486,0)</f>
        <v>0</v>
      </c>
      <c r="AB486" s="11">
        <f>IF(AQ486="1",BH486,0)</f>
        <v>0</v>
      </c>
      <c r="AC486" s="11">
        <f>IF(AQ486="1",BI486,0)</f>
        <v>0</v>
      </c>
      <c r="AD486" s="11">
        <f>IF(AQ486="7",BH486,0)</f>
        <v>0</v>
      </c>
      <c r="AE486" s="11">
        <f>IF(AQ486="7",BI486,0)</f>
        <v>0</v>
      </c>
      <c r="AF486" s="11">
        <f>IF(AQ486="2",BH486,0)</f>
        <v>0</v>
      </c>
      <c r="AG486" s="11">
        <f>IF(AQ486="2",BI486,0)</f>
        <v>0</v>
      </c>
      <c r="AH486" s="11">
        <f>IF(AQ486="0",BJ486,0)</f>
        <v>0</v>
      </c>
      <c r="AI486" s="26" t="s">
        <v>78</v>
      </c>
      <c r="AJ486" s="20">
        <f>IF(AN486=0,K486,0)</f>
        <v>0</v>
      </c>
      <c r="AK486" s="20">
        <f>IF(AN486=15,K486,0)</f>
        <v>0</v>
      </c>
      <c r="AL486" s="20">
        <f>IF(AN486=21,K486,0)</f>
        <v>0</v>
      </c>
      <c r="AN486" s="11">
        <v>21</v>
      </c>
      <c r="AO486" s="11">
        <f>H486*0</f>
        <v>0</v>
      </c>
      <c r="AP486" s="11">
        <f>H486*(1-0)</f>
        <v>0</v>
      </c>
      <c r="AQ486" s="27" t="s">
        <v>144</v>
      </c>
      <c r="AV486" s="11">
        <f>AW486+AX486</f>
        <v>0</v>
      </c>
      <c r="AW486" s="11">
        <f>G486*AO486</f>
        <v>0</v>
      </c>
      <c r="AX486" s="11">
        <f>G486*AP486</f>
        <v>0</v>
      </c>
      <c r="AY486" s="29" t="s">
        <v>1085</v>
      </c>
      <c r="AZ486" s="29" t="s">
        <v>1120</v>
      </c>
      <c r="BA486" s="26" t="s">
        <v>1130</v>
      </c>
      <c r="BB486" s="26" t="s">
        <v>1142</v>
      </c>
      <c r="BC486" s="11">
        <f>AW486+AX486</f>
        <v>0</v>
      </c>
      <c r="BD486" s="11">
        <f>H486/(100-BE486)*100</f>
        <v>0</v>
      </c>
      <c r="BE486" s="11">
        <v>0</v>
      </c>
      <c r="BF486" s="11">
        <f>L486</f>
        <v>16718.399999999998</v>
      </c>
      <c r="BH486" s="20">
        <f>G486*AO486</f>
        <v>0</v>
      </c>
      <c r="BI486" s="20">
        <f>G486*AP486</f>
        <v>0</v>
      </c>
      <c r="BJ486" s="20">
        <f>G486*H486</f>
        <v>0</v>
      </c>
      <c r="BK486" s="20" t="s">
        <v>1164</v>
      </c>
      <c r="BL486" s="11">
        <v>776</v>
      </c>
    </row>
    <row r="487" spans="1:64" x14ac:dyDescent="0.2">
      <c r="A487" s="35"/>
      <c r="B487" s="36"/>
      <c r="C487" s="81" t="s">
        <v>808</v>
      </c>
      <c r="D487" s="36"/>
      <c r="E487" s="82"/>
      <c r="F487" s="36"/>
      <c r="G487" s="83">
        <v>34.4</v>
      </c>
      <c r="H487" s="36"/>
      <c r="I487" s="36"/>
      <c r="J487" s="36"/>
      <c r="K487" s="36"/>
      <c r="L487" s="36"/>
      <c r="M487" s="35"/>
      <c r="N487" s="32"/>
    </row>
    <row r="488" spans="1:64" x14ac:dyDescent="0.2">
      <c r="A488" s="79" t="s">
        <v>288</v>
      </c>
      <c r="B488" s="79" t="s">
        <v>443</v>
      </c>
      <c r="C488" s="194" t="s">
        <v>809</v>
      </c>
      <c r="D488" s="195"/>
      <c r="E488" s="195"/>
      <c r="F488" s="79" t="s">
        <v>1051</v>
      </c>
      <c r="G488" s="80">
        <v>34.4</v>
      </c>
      <c r="H488" s="80">
        <v>0</v>
      </c>
      <c r="I488" s="80">
        <f>G488*AO488</f>
        <v>0</v>
      </c>
      <c r="J488" s="80">
        <f>G488*AP488</f>
        <v>0</v>
      </c>
      <c r="K488" s="80">
        <f>G488*H488</f>
        <v>0</v>
      </c>
      <c r="L488" s="80">
        <f>G488*488</f>
        <v>16787.2</v>
      </c>
      <c r="M488" s="94" t="s">
        <v>1066</v>
      </c>
      <c r="N488" s="32"/>
      <c r="Z488" s="11">
        <f>IF(AQ488="5",BJ488,0)</f>
        <v>0</v>
      </c>
      <c r="AB488" s="11">
        <f>IF(AQ488="1",BH488,0)</f>
        <v>0</v>
      </c>
      <c r="AC488" s="11">
        <f>IF(AQ488="1",BI488,0)</f>
        <v>0</v>
      </c>
      <c r="AD488" s="11">
        <f>IF(AQ488="7",BH488,0)</f>
        <v>0</v>
      </c>
      <c r="AE488" s="11">
        <f>IF(AQ488="7",BI488,0)</f>
        <v>0</v>
      </c>
      <c r="AF488" s="11">
        <f>IF(AQ488="2",BH488,0)</f>
        <v>0</v>
      </c>
      <c r="AG488" s="11">
        <f>IF(AQ488="2",BI488,0)</f>
        <v>0</v>
      </c>
      <c r="AH488" s="11">
        <f>IF(AQ488="0",BJ488,0)</f>
        <v>0</v>
      </c>
      <c r="AI488" s="26" t="s">
        <v>78</v>
      </c>
      <c r="AJ488" s="20">
        <f>IF(AN488=0,K488,0)</f>
        <v>0</v>
      </c>
      <c r="AK488" s="20">
        <f>IF(AN488=15,K488,0)</f>
        <v>0</v>
      </c>
      <c r="AL488" s="20">
        <f>IF(AN488=21,K488,0)</f>
        <v>0</v>
      </c>
      <c r="AN488" s="11">
        <v>21</v>
      </c>
      <c r="AO488" s="11">
        <f>H488*0</f>
        <v>0</v>
      </c>
      <c r="AP488" s="11">
        <f>H488*(1-0)</f>
        <v>0</v>
      </c>
      <c r="AQ488" s="27" t="s">
        <v>144</v>
      </c>
      <c r="AV488" s="11">
        <f>AW488+AX488</f>
        <v>0</v>
      </c>
      <c r="AW488" s="11">
        <f>G488*AO488</f>
        <v>0</v>
      </c>
      <c r="AX488" s="11">
        <f>G488*AP488</f>
        <v>0</v>
      </c>
      <c r="AY488" s="29" t="s">
        <v>1085</v>
      </c>
      <c r="AZ488" s="29" t="s">
        <v>1120</v>
      </c>
      <c r="BA488" s="26" t="s">
        <v>1130</v>
      </c>
      <c r="BB488" s="26" t="s">
        <v>1142</v>
      </c>
      <c r="BC488" s="11">
        <f>AW488+AX488</f>
        <v>0</v>
      </c>
      <c r="BD488" s="11">
        <f>H488/(100-BE488)*100</f>
        <v>0</v>
      </c>
      <c r="BE488" s="11">
        <v>0</v>
      </c>
      <c r="BF488" s="11">
        <f>L488</f>
        <v>16787.2</v>
      </c>
      <c r="BH488" s="20">
        <f>G488*AO488</f>
        <v>0</v>
      </c>
      <c r="BI488" s="20">
        <f>G488*AP488</f>
        <v>0</v>
      </c>
      <c r="BJ488" s="20">
        <f>G488*H488</f>
        <v>0</v>
      </c>
      <c r="BK488" s="20" t="s">
        <v>1164</v>
      </c>
      <c r="BL488" s="11">
        <v>776</v>
      </c>
    </row>
    <row r="489" spans="1:64" x14ac:dyDescent="0.2">
      <c r="A489" s="35"/>
      <c r="B489" s="86" t="s">
        <v>354</v>
      </c>
      <c r="C489" s="196" t="s">
        <v>810</v>
      </c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  <c r="N489" s="32"/>
    </row>
    <row r="490" spans="1:64" x14ac:dyDescent="0.2">
      <c r="A490" s="35"/>
      <c r="B490" s="36"/>
      <c r="C490" s="81" t="s">
        <v>811</v>
      </c>
      <c r="D490" s="36"/>
      <c r="E490" s="82"/>
      <c r="F490" s="36"/>
      <c r="G490" s="83">
        <v>34.4</v>
      </c>
      <c r="H490" s="36"/>
      <c r="I490" s="36"/>
      <c r="J490" s="36"/>
      <c r="K490" s="36"/>
      <c r="L490" s="36"/>
      <c r="M490" s="35"/>
      <c r="N490" s="32"/>
    </row>
    <row r="491" spans="1:64" x14ac:dyDescent="0.2">
      <c r="A491" s="79" t="s">
        <v>289</v>
      </c>
      <c r="B491" s="79" t="s">
        <v>396</v>
      </c>
      <c r="C491" s="194" t="s">
        <v>617</v>
      </c>
      <c r="D491" s="195"/>
      <c r="E491" s="195"/>
      <c r="F491" s="79" t="s">
        <v>1050</v>
      </c>
      <c r="G491" s="80">
        <v>15.048999999999999</v>
      </c>
      <c r="H491" s="80">
        <v>0</v>
      </c>
      <c r="I491" s="80">
        <f>G491*AO491</f>
        <v>0</v>
      </c>
      <c r="J491" s="80">
        <f>G491*AP491</f>
        <v>0</v>
      </c>
      <c r="K491" s="80">
        <f>G491*H491</f>
        <v>0</v>
      </c>
      <c r="L491" s="80">
        <f>G491*491</f>
        <v>7389.0590000000002</v>
      </c>
      <c r="M491" s="94" t="s">
        <v>1066</v>
      </c>
      <c r="N491" s="32"/>
      <c r="Z491" s="11">
        <f>IF(AQ491="5",BJ491,0)</f>
        <v>0</v>
      </c>
      <c r="AB491" s="11">
        <f>IF(AQ491="1",BH491,0)</f>
        <v>0</v>
      </c>
      <c r="AC491" s="11">
        <f>IF(AQ491="1",BI491,0)</f>
        <v>0</v>
      </c>
      <c r="AD491" s="11">
        <f>IF(AQ491="7",BH491,0)</f>
        <v>0</v>
      </c>
      <c r="AE491" s="11">
        <f>IF(AQ491="7",BI491,0)</f>
        <v>0</v>
      </c>
      <c r="AF491" s="11">
        <f>IF(AQ491="2",BH491,0)</f>
        <v>0</v>
      </c>
      <c r="AG491" s="11">
        <f>IF(AQ491="2",BI491,0)</f>
        <v>0</v>
      </c>
      <c r="AH491" s="11">
        <f>IF(AQ491="0",BJ491,0)</f>
        <v>0</v>
      </c>
      <c r="AI491" s="26" t="s">
        <v>78</v>
      </c>
      <c r="AJ491" s="20">
        <f>IF(AN491=0,K491,0)</f>
        <v>0</v>
      </c>
      <c r="AK491" s="20">
        <f>IF(AN491=15,K491,0)</f>
        <v>0</v>
      </c>
      <c r="AL491" s="20">
        <f>IF(AN491=21,K491,0)</f>
        <v>0</v>
      </c>
      <c r="AN491" s="11">
        <v>21</v>
      </c>
      <c r="AO491" s="11">
        <f>H491*0</f>
        <v>0</v>
      </c>
      <c r="AP491" s="11">
        <f>H491*(1-0)</f>
        <v>0</v>
      </c>
      <c r="AQ491" s="27" t="s">
        <v>144</v>
      </c>
      <c r="AV491" s="11">
        <f>AW491+AX491</f>
        <v>0</v>
      </c>
      <c r="AW491" s="11">
        <f>G491*AO491</f>
        <v>0</v>
      </c>
      <c r="AX491" s="11">
        <f>G491*AP491</f>
        <v>0</v>
      </c>
      <c r="AY491" s="29" t="s">
        <v>1085</v>
      </c>
      <c r="AZ491" s="29" t="s">
        <v>1120</v>
      </c>
      <c r="BA491" s="26" t="s">
        <v>1130</v>
      </c>
      <c r="BB491" s="26" t="s">
        <v>1142</v>
      </c>
      <c r="BC491" s="11">
        <f>AW491+AX491</f>
        <v>0</v>
      </c>
      <c r="BD491" s="11">
        <f>H491/(100-BE491)*100</f>
        <v>0</v>
      </c>
      <c r="BE491" s="11">
        <v>0</v>
      </c>
      <c r="BF491" s="11">
        <f>L491</f>
        <v>7389.0590000000002</v>
      </c>
      <c r="BH491" s="20">
        <f>G491*AO491</f>
        <v>0</v>
      </c>
      <c r="BI491" s="20">
        <f>G491*AP491</f>
        <v>0</v>
      </c>
      <c r="BJ491" s="20">
        <f>G491*H491</f>
        <v>0</v>
      </c>
      <c r="BK491" s="20" t="s">
        <v>1164</v>
      </c>
      <c r="BL491" s="11">
        <v>776</v>
      </c>
    </row>
    <row r="492" spans="1:64" x14ac:dyDescent="0.2">
      <c r="A492" s="35"/>
      <c r="B492" s="36"/>
      <c r="C492" s="81" t="s">
        <v>812</v>
      </c>
      <c r="D492" s="36"/>
      <c r="E492" s="82"/>
      <c r="F492" s="36"/>
      <c r="G492" s="83">
        <v>15.048999999999999</v>
      </c>
      <c r="H492" s="36"/>
      <c r="I492" s="36"/>
      <c r="J492" s="36"/>
      <c r="K492" s="36"/>
      <c r="L492" s="36"/>
      <c r="M492" s="35"/>
      <c r="N492" s="32"/>
    </row>
    <row r="493" spans="1:64" x14ac:dyDescent="0.2">
      <c r="A493" s="79" t="s">
        <v>290</v>
      </c>
      <c r="B493" s="79" t="s">
        <v>397</v>
      </c>
      <c r="C493" s="194" t="s">
        <v>619</v>
      </c>
      <c r="D493" s="195"/>
      <c r="E493" s="195"/>
      <c r="F493" s="79" t="s">
        <v>1050</v>
      </c>
      <c r="G493" s="80">
        <v>25.369</v>
      </c>
      <c r="H493" s="80">
        <v>0</v>
      </c>
      <c r="I493" s="80">
        <f>G493*AO493</f>
        <v>0</v>
      </c>
      <c r="J493" s="80">
        <f>G493*AP493</f>
        <v>0</v>
      </c>
      <c r="K493" s="80">
        <f>G493*H493</f>
        <v>0</v>
      </c>
      <c r="L493" s="80">
        <f>G493*493</f>
        <v>12506.916999999999</v>
      </c>
      <c r="M493" s="94" t="s">
        <v>1066</v>
      </c>
      <c r="N493" s="32"/>
      <c r="Z493" s="11">
        <f>IF(AQ493="5",BJ493,0)</f>
        <v>0</v>
      </c>
      <c r="AB493" s="11">
        <f>IF(AQ493="1",BH493,0)</f>
        <v>0</v>
      </c>
      <c r="AC493" s="11">
        <f>IF(AQ493="1",BI493,0)</f>
        <v>0</v>
      </c>
      <c r="AD493" s="11">
        <f>IF(AQ493="7",BH493,0)</f>
        <v>0</v>
      </c>
      <c r="AE493" s="11">
        <f>IF(AQ493="7",BI493,0)</f>
        <v>0</v>
      </c>
      <c r="AF493" s="11">
        <f>IF(AQ493="2",BH493,0)</f>
        <v>0</v>
      </c>
      <c r="AG493" s="11">
        <f>IF(AQ493="2",BI493,0)</f>
        <v>0</v>
      </c>
      <c r="AH493" s="11">
        <f>IF(AQ493="0",BJ493,0)</f>
        <v>0</v>
      </c>
      <c r="AI493" s="26" t="s">
        <v>78</v>
      </c>
      <c r="AJ493" s="20">
        <f>IF(AN493=0,K493,0)</f>
        <v>0</v>
      </c>
      <c r="AK493" s="20">
        <f>IF(AN493=15,K493,0)</f>
        <v>0</v>
      </c>
      <c r="AL493" s="20">
        <f>IF(AN493=21,K493,0)</f>
        <v>0</v>
      </c>
      <c r="AN493" s="11">
        <v>21</v>
      </c>
      <c r="AO493" s="11">
        <f>H493*0</f>
        <v>0</v>
      </c>
      <c r="AP493" s="11">
        <f>H493*(1-0)</f>
        <v>0</v>
      </c>
      <c r="AQ493" s="27" t="s">
        <v>144</v>
      </c>
      <c r="AV493" s="11">
        <f>AW493+AX493</f>
        <v>0</v>
      </c>
      <c r="AW493" s="11">
        <f>G493*AO493</f>
        <v>0</v>
      </c>
      <c r="AX493" s="11">
        <f>G493*AP493</f>
        <v>0</v>
      </c>
      <c r="AY493" s="29" t="s">
        <v>1085</v>
      </c>
      <c r="AZ493" s="29" t="s">
        <v>1120</v>
      </c>
      <c r="BA493" s="26" t="s">
        <v>1130</v>
      </c>
      <c r="BB493" s="26" t="s">
        <v>1142</v>
      </c>
      <c r="BC493" s="11">
        <f>AW493+AX493</f>
        <v>0</v>
      </c>
      <c r="BD493" s="11">
        <f>H493/(100-BE493)*100</f>
        <v>0</v>
      </c>
      <c r="BE493" s="11">
        <v>0</v>
      </c>
      <c r="BF493" s="11">
        <f>L493</f>
        <v>12506.916999999999</v>
      </c>
      <c r="BH493" s="20">
        <f>G493*AO493</f>
        <v>0</v>
      </c>
      <c r="BI493" s="20">
        <f>G493*AP493</f>
        <v>0</v>
      </c>
      <c r="BJ493" s="20">
        <f>G493*H493</f>
        <v>0</v>
      </c>
      <c r="BK493" s="20" t="s">
        <v>1164</v>
      </c>
      <c r="BL493" s="11">
        <v>776</v>
      </c>
    </row>
    <row r="494" spans="1:64" x14ac:dyDescent="0.2">
      <c r="A494" s="35"/>
      <c r="B494" s="36"/>
      <c r="C494" s="81" t="s">
        <v>813</v>
      </c>
      <c r="D494" s="36"/>
      <c r="E494" s="82"/>
      <c r="F494" s="36"/>
      <c r="G494" s="83">
        <v>25.369</v>
      </c>
      <c r="H494" s="36"/>
      <c r="I494" s="36"/>
      <c r="J494" s="36"/>
      <c r="K494" s="36"/>
      <c r="L494" s="36"/>
      <c r="M494" s="35"/>
      <c r="N494" s="32"/>
    </row>
    <row r="495" spans="1:64" x14ac:dyDescent="0.2">
      <c r="A495" s="79" t="s">
        <v>291</v>
      </c>
      <c r="B495" s="79" t="s">
        <v>398</v>
      </c>
      <c r="C495" s="194" t="s">
        <v>621</v>
      </c>
      <c r="D495" s="195"/>
      <c r="E495" s="195"/>
      <c r="F495" s="79" t="s">
        <v>1050</v>
      </c>
      <c r="G495" s="80">
        <v>25.369</v>
      </c>
      <c r="H495" s="80">
        <v>0</v>
      </c>
      <c r="I495" s="80">
        <f>G495*AO495</f>
        <v>0</v>
      </c>
      <c r="J495" s="80">
        <f>G495*AP495</f>
        <v>0</v>
      </c>
      <c r="K495" s="80">
        <f>G495*H495</f>
        <v>0</v>
      </c>
      <c r="L495" s="80">
        <f>G495*495</f>
        <v>12557.655000000001</v>
      </c>
      <c r="M495" s="94" t="s">
        <v>1066</v>
      </c>
      <c r="N495" s="32"/>
      <c r="Z495" s="11">
        <f>IF(AQ495="5",BJ495,0)</f>
        <v>0</v>
      </c>
      <c r="AB495" s="11">
        <f>IF(AQ495="1",BH495,0)</f>
        <v>0</v>
      </c>
      <c r="AC495" s="11">
        <f>IF(AQ495="1",BI495,0)</f>
        <v>0</v>
      </c>
      <c r="AD495" s="11">
        <f>IF(AQ495="7",BH495,0)</f>
        <v>0</v>
      </c>
      <c r="AE495" s="11">
        <f>IF(AQ495="7",BI495,0)</f>
        <v>0</v>
      </c>
      <c r="AF495" s="11">
        <f>IF(AQ495="2",BH495,0)</f>
        <v>0</v>
      </c>
      <c r="AG495" s="11">
        <f>IF(AQ495="2",BI495,0)</f>
        <v>0</v>
      </c>
      <c r="AH495" s="11">
        <f>IF(AQ495="0",BJ495,0)</f>
        <v>0</v>
      </c>
      <c r="AI495" s="26" t="s">
        <v>78</v>
      </c>
      <c r="AJ495" s="20">
        <f>IF(AN495=0,K495,0)</f>
        <v>0</v>
      </c>
      <c r="AK495" s="20">
        <f>IF(AN495=15,K495,0)</f>
        <v>0</v>
      </c>
      <c r="AL495" s="20">
        <f>IF(AN495=21,K495,0)</f>
        <v>0</v>
      </c>
      <c r="AN495" s="11">
        <v>21</v>
      </c>
      <c r="AO495" s="11">
        <f>H495*0</f>
        <v>0</v>
      </c>
      <c r="AP495" s="11">
        <f>H495*(1-0)</f>
        <v>0</v>
      </c>
      <c r="AQ495" s="27" t="s">
        <v>144</v>
      </c>
      <c r="AV495" s="11">
        <f>AW495+AX495</f>
        <v>0</v>
      </c>
      <c r="AW495" s="11">
        <f>G495*AO495</f>
        <v>0</v>
      </c>
      <c r="AX495" s="11">
        <f>G495*AP495</f>
        <v>0</v>
      </c>
      <c r="AY495" s="29" t="s">
        <v>1085</v>
      </c>
      <c r="AZ495" s="29" t="s">
        <v>1120</v>
      </c>
      <c r="BA495" s="26" t="s">
        <v>1130</v>
      </c>
      <c r="BB495" s="26" t="s">
        <v>1142</v>
      </c>
      <c r="BC495" s="11">
        <f>AW495+AX495</f>
        <v>0</v>
      </c>
      <c r="BD495" s="11">
        <f>H495/(100-BE495)*100</f>
        <v>0</v>
      </c>
      <c r="BE495" s="11">
        <v>0</v>
      </c>
      <c r="BF495" s="11">
        <f>L495</f>
        <v>12557.655000000001</v>
      </c>
      <c r="BH495" s="20">
        <f>G495*AO495</f>
        <v>0</v>
      </c>
      <c r="BI495" s="20">
        <f>G495*AP495</f>
        <v>0</v>
      </c>
      <c r="BJ495" s="20">
        <f>G495*H495</f>
        <v>0</v>
      </c>
      <c r="BK495" s="20" t="s">
        <v>1164</v>
      </c>
      <c r="BL495" s="11">
        <v>776</v>
      </c>
    </row>
    <row r="496" spans="1:64" x14ac:dyDescent="0.2">
      <c r="A496" s="35"/>
      <c r="B496" s="36"/>
      <c r="C496" s="81" t="s">
        <v>803</v>
      </c>
      <c r="D496" s="36"/>
      <c r="E496" s="82"/>
      <c r="F496" s="36"/>
      <c r="G496" s="83">
        <v>25.369</v>
      </c>
      <c r="H496" s="36"/>
      <c r="I496" s="36"/>
      <c r="J496" s="36"/>
      <c r="K496" s="36"/>
      <c r="L496" s="36"/>
      <c r="M496" s="35"/>
      <c r="N496" s="32"/>
    </row>
    <row r="497" spans="1:64" x14ac:dyDescent="0.2">
      <c r="A497" s="84" t="s">
        <v>292</v>
      </c>
      <c r="B497" s="84" t="s">
        <v>386</v>
      </c>
      <c r="C497" s="198" t="s">
        <v>814</v>
      </c>
      <c r="D497" s="199"/>
      <c r="E497" s="199"/>
      <c r="F497" s="84" t="s">
        <v>1053</v>
      </c>
      <c r="G497" s="85">
        <v>0.38053999999999999</v>
      </c>
      <c r="H497" s="85">
        <v>0</v>
      </c>
      <c r="I497" s="85">
        <f>G497*AO497</f>
        <v>0</v>
      </c>
      <c r="J497" s="85">
        <f>G497*AP497</f>
        <v>0</v>
      </c>
      <c r="K497" s="85">
        <f>G497*H497</f>
        <v>0</v>
      </c>
      <c r="L497" s="85">
        <f>G497*497</f>
        <v>189.12837999999999</v>
      </c>
      <c r="M497" s="95" t="s">
        <v>1067</v>
      </c>
      <c r="N497" s="32"/>
      <c r="Z497" s="11">
        <f>IF(AQ497="5",BJ497,0)</f>
        <v>0</v>
      </c>
      <c r="AB497" s="11">
        <f>IF(AQ497="1",BH497,0)</f>
        <v>0</v>
      </c>
      <c r="AC497" s="11">
        <f>IF(AQ497="1",BI497,0)</f>
        <v>0</v>
      </c>
      <c r="AD497" s="11">
        <f>IF(AQ497="7",BH497,0)</f>
        <v>0</v>
      </c>
      <c r="AE497" s="11">
        <f>IF(AQ497="7",BI497,0)</f>
        <v>0</v>
      </c>
      <c r="AF497" s="11">
        <f>IF(AQ497="2",BH497,0)</f>
        <v>0</v>
      </c>
      <c r="AG497" s="11">
        <f>IF(AQ497="2",BI497,0)</f>
        <v>0</v>
      </c>
      <c r="AH497" s="11">
        <f>IF(AQ497="0",BJ497,0)</f>
        <v>0</v>
      </c>
      <c r="AI497" s="26" t="s">
        <v>78</v>
      </c>
      <c r="AJ497" s="21">
        <f>IF(AN497=0,K497,0)</f>
        <v>0</v>
      </c>
      <c r="AK497" s="21">
        <f>IF(AN497=15,K497,0)</f>
        <v>0</v>
      </c>
      <c r="AL497" s="21">
        <f>IF(AN497=21,K497,0)</f>
        <v>0</v>
      </c>
      <c r="AN497" s="11">
        <v>21</v>
      </c>
      <c r="AO497" s="11">
        <f>H497*1</f>
        <v>0</v>
      </c>
      <c r="AP497" s="11">
        <f>H497*(1-1)</f>
        <v>0</v>
      </c>
      <c r="AQ497" s="28" t="s">
        <v>144</v>
      </c>
      <c r="AV497" s="11">
        <f>AW497+AX497</f>
        <v>0</v>
      </c>
      <c r="AW497" s="11">
        <f>G497*AO497</f>
        <v>0</v>
      </c>
      <c r="AX497" s="11">
        <f>G497*AP497</f>
        <v>0</v>
      </c>
      <c r="AY497" s="29" t="s">
        <v>1085</v>
      </c>
      <c r="AZ497" s="29" t="s">
        <v>1120</v>
      </c>
      <c r="BA497" s="26" t="s">
        <v>1130</v>
      </c>
      <c r="BC497" s="11">
        <f>AW497+AX497</f>
        <v>0</v>
      </c>
      <c r="BD497" s="11">
        <f>H497/(100-BE497)*100</f>
        <v>0</v>
      </c>
      <c r="BE497" s="11">
        <v>0</v>
      </c>
      <c r="BF497" s="11">
        <f>L497</f>
        <v>189.12837999999999</v>
      </c>
      <c r="BH497" s="21">
        <f>G497*AO497</f>
        <v>0</v>
      </c>
      <c r="BI497" s="21">
        <f>G497*AP497</f>
        <v>0</v>
      </c>
      <c r="BJ497" s="21">
        <f>G497*H497</f>
        <v>0</v>
      </c>
      <c r="BK497" s="21" t="s">
        <v>1165</v>
      </c>
      <c r="BL497" s="11">
        <v>776</v>
      </c>
    </row>
    <row r="498" spans="1:64" x14ac:dyDescent="0.2">
      <c r="A498" s="35"/>
      <c r="B498" s="36"/>
      <c r="C498" s="81" t="s">
        <v>815</v>
      </c>
      <c r="D498" s="36"/>
      <c r="E498" s="82" t="s">
        <v>940</v>
      </c>
      <c r="F498" s="36"/>
      <c r="G498" s="83">
        <v>0.38053999999999999</v>
      </c>
      <c r="H498" s="36"/>
      <c r="I498" s="36"/>
      <c r="J498" s="36"/>
      <c r="K498" s="36"/>
      <c r="L498" s="36"/>
      <c r="M498" s="35"/>
      <c r="N498" s="32"/>
    </row>
    <row r="499" spans="1:64" x14ac:dyDescent="0.2">
      <c r="A499" s="79" t="s">
        <v>293</v>
      </c>
      <c r="B499" s="79" t="s">
        <v>403</v>
      </c>
      <c r="C499" s="194" t="s">
        <v>637</v>
      </c>
      <c r="D499" s="195"/>
      <c r="E499" s="195"/>
      <c r="F499" s="79" t="s">
        <v>1050</v>
      </c>
      <c r="G499" s="80">
        <v>25.369</v>
      </c>
      <c r="H499" s="80">
        <v>0</v>
      </c>
      <c r="I499" s="80">
        <f>G499*AO499</f>
        <v>0</v>
      </c>
      <c r="J499" s="80">
        <f>G499*AP499</f>
        <v>0</v>
      </c>
      <c r="K499" s="80">
        <f>G499*H499</f>
        <v>0</v>
      </c>
      <c r="L499" s="80">
        <f>G499*499</f>
        <v>12659.130999999999</v>
      </c>
      <c r="M499" s="94" t="s">
        <v>1066</v>
      </c>
      <c r="N499" s="32"/>
      <c r="Z499" s="11">
        <f>IF(AQ499="5",BJ499,0)</f>
        <v>0</v>
      </c>
      <c r="AB499" s="11">
        <f>IF(AQ499="1",BH499,0)</f>
        <v>0</v>
      </c>
      <c r="AC499" s="11">
        <f>IF(AQ499="1",BI499,0)</f>
        <v>0</v>
      </c>
      <c r="AD499" s="11">
        <f>IF(AQ499="7",BH499,0)</f>
        <v>0</v>
      </c>
      <c r="AE499" s="11">
        <f>IF(AQ499="7",BI499,0)</f>
        <v>0</v>
      </c>
      <c r="AF499" s="11">
        <f>IF(AQ499="2",BH499,0)</f>
        <v>0</v>
      </c>
      <c r="AG499" s="11">
        <f>IF(AQ499="2",BI499,0)</f>
        <v>0</v>
      </c>
      <c r="AH499" s="11">
        <f>IF(AQ499="0",BJ499,0)</f>
        <v>0</v>
      </c>
      <c r="AI499" s="26" t="s">
        <v>78</v>
      </c>
      <c r="AJ499" s="20">
        <f>IF(AN499=0,K499,0)</f>
        <v>0</v>
      </c>
      <c r="AK499" s="20">
        <f>IF(AN499=15,K499,0)</f>
        <v>0</v>
      </c>
      <c r="AL499" s="20">
        <f>IF(AN499=21,K499,0)</f>
        <v>0</v>
      </c>
      <c r="AN499" s="11">
        <v>21</v>
      </c>
      <c r="AO499" s="11">
        <f>H499*0</f>
        <v>0</v>
      </c>
      <c r="AP499" s="11">
        <f>H499*(1-0)</f>
        <v>0</v>
      </c>
      <c r="AQ499" s="27" t="s">
        <v>144</v>
      </c>
      <c r="AV499" s="11">
        <f>AW499+AX499</f>
        <v>0</v>
      </c>
      <c r="AW499" s="11">
        <f>G499*AO499</f>
        <v>0</v>
      </c>
      <c r="AX499" s="11">
        <f>G499*AP499</f>
        <v>0</v>
      </c>
      <c r="AY499" s="29" t="s">
        <v>1085</v>
      </c>
      <c r="AZ499" s="29" t="s">
        <v>1120</v>
      </c>
      <c r="BA499" s="26" t="s">
        <v>1130</v>
      </c>
      <c r="BB499" s="26" t="s">
        <v>1142</v>
      </c>
      <c r="BC499" s="11">
        <f>AW499+AX499</f>
        <v>0</v>
      </c>
      <c r="BD499" s="11">
        <f>H499/(100-BE499)*100</f>
        <v>0</v>
      </c>
      <c r="BE499" s="11">
        <v>0</v>
      </c>
      <c r="BF499" s="11">
        <f>L499</f>
        <v>12659.130999999999</v>
      </c>
      <c r="BH499" s="20">
        <f>G499*AO499</f>
        <v>0</v>
      </c>
      <c r="BI499" s="20">
        <f>G499*AP499</f>
        <v>0</v>
      </c>
      <c r="BJ499" s="20">
        <f>G499*H499</f>
        <v>0</v>
      </c>
      <c r="BK499" s="20" t="s">
        <v>1164</v>
      </c>
      <c r="BL499" s="11">
        <v>776</v>
      </c>
    </row>
    <row r="500" spans="1:64" x14ac:dyDescent="0.2">
      <c r="A500" s="35"/>
      <c r="B500" s="36"/>
      <c r="C500" s="81" t="s">
        <v>803</v>
      </c>
      <c r="D500" s="36"/>
      <c r="E500" s="82"/>
      <c r="F500" s="36"/>
      <c r="G500" s="83">
        <v>25.369</v>
      </c>
      <c r="H500" s="36"/>
      <c r="I500" s="36"/>
      <c r="J500" s="36"/>
      <c r="K500" s="36"/>
      <c r="L500" s="36"/>
      <c r="M500" s="35"/>
      <c r="N500" s="32"/>
    </row>
    <row r="501" spans="1:64" x14ac:dyDescent="0.2">
      <c r="A501" s="84" t="s">
        <v>294</v>
      </c>
      <c r="B501" s="84" t="s">
        <v>386</v>
      </c>
      <c r="C501" s="198" t="s">
        <v>639</v>
      </c>
      <c r="D501" s="199"/>
      <c r="E501" s="199"/>
      <c r="F501" s="84" t="s">
        <v>1054</v>
      </c>
      <c r="G501" s="85">
        <v>222.10560000000001</v>
      </c>
      <c r="H501" s="85">
        <v>0</v>
      </c>
      <c r="I501" s="85">
        <f>G501*AO501</f>
        <v>0</v>
      </c>
      <c r="J501" s="85">
        <f>G501*AP501</f>
        <v>0</v>
      </c>
      <c r="K501" s="85">
        <f>G501*H501</f>
        <v>0</v>
      </c>
      <c r="L501" s="85">
        <f>G501*501</f>
        <v>111274.9056</v>
      </c>
      <c r="M501" s="95" t="s">
        <v>1067</v>
      </c>
      <c r="N501" s="32"/>
      <c r="Z501" s="11">
        <f>IF(AQ501="5",BJ501,0)</f>
        <v>0</v>
      </c>
      <c r="AB501" s="11">
        <f>IF(AQ501="1",BH501,0)</f>
        <v>0</v>
      </c>
      <c r="AC501" s="11">
        <f>IF(AQ501="1",BI501,0)</f>
        <v>0</v>
      </c>
      <c r="AD501" s="11">
        <f>IF(AQ501="7",BH501,0)</f>
        <v>0</v>
      </c>
      <c r="AE501" s="11">
        <f>IF(AQ501="7",BI501,0)</f>
        <v>0</v>
      </c>
      <c r="AF501" s="11">
        <f>IF(AQ501="2",BH501,0)</f>
        <v>0</v>
      </c>
      <c r="AG501" s="11">
        <f>IF(AQ501="2",BI501,0)</f>
        <v>0</v>
      </c>
      <c r="AH501" s="11">
        <f>IF(AQ501="0",BJ501,0)</f>
        <v>0</v>
      </c>
      <c r="AI501" s="26" t="s">
        <v>78</v>
      </c>
      <c r="AJ501" s="21">
        <f>IF(AN501=0,K501,0)</f>
        <v>0</v>
      </c>
      <c r="AK501" s="21">
        <f>IF(AN501=15,K501,0)</f>
        <v>0</v>
      </c>
      <c r="AL501" s="21">
        <f>IF(AN501=21,K501,0)</f>
        <v>0</v>
      </c>
      <c r="AN501" s="11">
        <v>21</v>
      </c>
      <c r="AO501" s="11">
        <f>H501*1</f>
        <v>0</v>
      </c>
      <c r="AP501" s="11">
        <f>H501*(1-1)</f>
        <v>0</v>
      </c>
      <c r="AQ501" s="28" t="s">
        <v>144</v>
      </c>
      <c r="AV501" s="11">
        <f>AW501+AX501</f>
        <v>0</v>
      </c>
      <c r="AW501" s="11">
        <f>G501*AO501</f>
        <v>0</v>
      </c>
      <c r="AX501" s="11">
        <f>G501*AP501</f>
        <v>0</v>
      </c>
      <c r="AY501" s="29" t="s">
        <v>1085</v>
      </c>
      <c r="AZ501" s="29" t="s">
        <v>1120</v>
      </c>
      <c r="BA501" s="26" t="s">
        <v>1130</v>
      </c>
      <c r="BC501" s="11">
        <f>AW501+AX501</f>
        <v>0</v>
      </c>
      <c r="BD501" s="11">
        <f>H501/(100-BE501)*100</f>
        <v>0</v>
      </c>
      <c r="BE501" s="11">
        <v>0</v>
      </c>
      <c r="BF501" s="11">
        <f>L501</f>
        <v>111274.9056</v>
      </c>
      <c r="BH501" s="21">
        <f>G501*AO501</f>
        <v>0</v>
      </c>
      <c r="BI501" s="21">
        <f>G501*AP501</f>
        <v>0</v>
      </c>
      <c r="BJ501" s="21">
        <f>G501*H501</f>
        <v>0</v>
      </c>
      <c r="BK501" s="21" t="s">
        <v>1165</v>
      </c>
      <c r="BL501" s="11">
        <v>776</v>
      </c>
    </row>
    <row r="502" spans="1:64" x14ac:dyDescent="0.2">
      <c r="A502" s="35"/>
      <c r="B502" s="36"/>
      <c r="C502" s="81" t="s">
        <v>816</v>
      </c>
      <c r="D502" s="36"/>
      <c r="E502" s="82" t="s">
        <v>945</v>
      </c>
      <c r="F502" s="36"/>
      <c r="G502" s="83">
        <v>215.63650000000001</v>
      </c>
      <c r="H502" s="36"/>
      <c r="I502" s="36"/>
      <c r="J502" s="36"/>
      <c r="K502" s="36"/>
      <c r="L502" s="36"/>
      <c r="M502" s="35"/>
      <c r="N502" s="32"/>
    </row>
    <row r="503" spans="1:64" x14ac:dyDescent="0.2">
      <c r="A503" s="35"/>
      <c r="B503" s="36"/>
      <c r="C503" s="81" t="s">
        <v>817</v>
      </c>
      <c r="D503" s="36"/>
      <c r="E503" s="82"/>
      <c r="F503" s="36"/>
      <c r="G503" s="83">
        <v>6.4691000000000001</v>
      </c>
      <c r="H503" s="36"/>
      <c r="I503" s="36"/>
      <c r="J503" s="36"/>
      <c r="K503" s="36"/>
      <c r="L503" s="36"/>
      <c r="M503" s="35"/>
      <c r="N503" s="32"/>
    </row>
    <row r="504" spans="1:64" x14ac:dyDescent="0.2">
      <c r="A504" s="79" t="s">
        <v>295</v>
      </c>
      <c r="B504" s="79" t="s">
        <v>399</v>
      </c>
      <c r="C504" s="194" t="s">
        <v>625</v>
      </c>
      <c r="D504" s="195"/>
      <c r="E504" s="195"/>
      <c r="F504" s="79" t="s">
        <v>1050</v>
      </c>
      <c r="G504" s="80">
        <v>15.048999999999999</v>
      </c>
      <c r="H504" s="80">
        <v>0</v>
      </c>
      <c r="I504" s="80">
        <f>G504*AO504</f>
        <v>0</v>
      </c>
      <c r="J504" s="80">
        <f>G504*AP504</f>
        <v>0</v>
      </c>
      <c r="K504" s="80">
        <f>G504*H504</f>
        <v>0</v>
      </c>
      <c r="L504" s="80">
        <f>G504*504</f>
        <v>7584.6959999999999</v>
      </c>
      <c r="M504" s="94" t="s">
        <v>1066</v>
      </c>
      <c r="N504" s="32"/>
      <c r="Z504" s="11">
        <f>IF(AQ504="5",BJ504,0)</f>
        <v>0</v>
      </c>
      <c r="AB504" s="11">
        <f>IF(AQ504="1",BH504,0)</f>
        <v>0</v>
      </c>
      <c r="AC504" s="11">
        <f>IF(AQ504="1",BI504,0)</f>
        <v>0</v>
      </c>
      <c r="AD504" s="11">
        <f>IF(AQ504="7",BH504,0)</f>
        <v>0</v>
      </c>
      <c r="AE504" s="11">
        <f>IF(AQ504="7",BI504,0)</f>
        <v>0</v>
      </c>
      <c r="AF504" s="11">
        <f>IF(AQ504="2",BH504,0)</f>
        <v>0</v>
      </c>
      <c r="AG504" s="11">
        <f>IF(AQ504="2",BI504,0)</f>
        <v>0</v>
      </c>
      <c r="AH504" s="11">
        <f>IF(AQ504="0",BJ504,0)</f>
        <v>0</v>
      </c>
      <c r="AI504" s="26" t="s">
        <v>78</v>
      </c>
      <c r="AJ504" s="20">
        <f>IF(AN504=0,K504,0)</f>
        <v>0</v>
      </c>
      <c r="AK504" s="20">
        <f>IF(AN504=15,K504,0)</f>
        <v>0</v>
      </c>
      <c r="AL504" s="20">
        <f>IF(AN504=21,K504,0)</f>
        <v>0</v>
      </c>
      <c r="AN504" s="11">
        <v>21</v>
      </c>
      <c r="AO504" s="11">
        <f>H504*0.277029635164989</f>
        <v>0</v>
      </c>
      <c r="AP504" s="11">
        <f>H504*(1-0.277029635164989)</f>
        <v>0</v>
      </c>
      <c r="AQ504" s="27" t="s">
        <v>144</v>
      </c>
      <c r="AV504" s="11">
        <f>AW504+AX504</f>
        <v>0</v>
      </c>
      <c r="AW504" s="11">
        <f>G504*AO504</f>
        <v>0</v>
      </c>
      <c r="AX504" s="11">
        <f>G504*AP504</f>
        <v>0</v>
      </c>
      <c r="AY504" s="29" t="s">
        <v>1085</v>
      </c>
      <c r="AZ504" s="29" t="s">
        <v>1120</v>
      </c>
      <c r="BA504" s="26" t="s">
        <v>1130</v>
      </c>
      <c r="BB504" s="26" t="s">
        <v>1142</v>
      </c>
      <c r="BC504" s="11">
        <f>AW504+AX504</f>
        <v>0</v>
      </c>
      <c r="BD504" s="11">
        <f>H504/(100-BE504)*100</f>
        <v>0</v>
      </c>
      <c r="BE504" s="11">
        <v>0</v>
      </c>
      <c r="BF504" s="11">
        <f>L504</f>
        <v>7584.6959999999999</v>
      </c>
      <c r="BH504" s="20">
        <f>G504*AO504</f>
        <v>0</v>
      </c>
      <c r="BI504" s="20">
        <f>G504*AP504</f>
        <v>0</v>
      </c>
      <c r="BJ504" s="20">
        <f>G504*H504</f>
        <v>0</v>
      </c>
      <c r="BK504" s="20" t="s">
        <v>1164</v>
      </c>
      <c r="BL504" s="11">
        <v>776</v>
      </c>
    </row>
    <row r="505" spans="1:64" x14ac:dyDescent="0.2">
      <c r="A505" s="35"/>
      <c r="B505" s="86" t="s">
        <v>354</v>
      </c>
      <c r="C505" s="196" t="s">
        <v>626</v>
      </c>
      <c r="D505" s="197"/>
      <c r="E505" s="197"/>
      <c r="F505" s="197"/>
      <c r="G505" s="197"/>
      <c r="H505" s="197"/>
      <c r="I505" s="197"/>
      <c r="J505" s="197"/>
      <c r="K505" s="197"/>
      <c r="L505" s="197"/>
      <c r="M505" s="197"/>
      <c r="N505" s="32"/>
    </row>
    <row r="506" spans="1:64" x14ac:dyDescent="0.2">
      <c r="A506" s="35"/>
      <c r="B506" s="36"/>
      <c r="C506" s="81" t="s">
        <v>818</v>
      </c>
      <c r="D506" s="36"/>
      <c r="E506" s="82" t="s">
        <v>1020</v>
      </c>
      <c r="F506" s="36"/>
      <c r="G506" s="83">
        <v>15.048999999999999</v>
      </c>
      <c r="H506" s="36"/>
      <c r="I506" s="36"/>
      <c r="J506" s="36"/>
      <c r="K506" s="36"/>
      <c r="L506" s="36"/>
      <c r="M506" s="35"/>
      <c r="N506" s="32"/>
    </row>
    <row r="507" spans="1:64" x14ac:dyDescent="0.2">
      <c r="A507" s="84" t="s">
        <v>296</v>
      </c>
      <c r="B507" s="84" t="s">
        <v>400</v>
      </c>
      <c r="C507" s="198" t="s">
        <v>628</v>
      </c>
      <c r="D507" s="199"/>
      <c r="E507" s="199"/>
      <c r="F507" s="84" t="s">
        <v>1050</v>
      </c>
      <c r="G507" s="85">
        <v>16.553899999999999</v>
      </c>
      <c r="H507" s="85">
        <v>0</v>
      </c>
      <c r="I507" s="85">
        <f>G507*AO507</f>
        <v>0</v>
      </c>
      <c r="J507" s="85">
        <f>G507*AP507</f>
        <v>0</v>
      </c>
      <c r="K507" s="85">
        <f>G507*H507</f>
        <v>0</v>
      </c>
      <c r="L507" s="85">
        <f>G507*507</f>
        <v>8392.827299999999</v>
      </c>
      <c r="M507" s="95" t="s">
        <v>1067</v>
      </c>
      <c r="N507" s="32"/>
      <c r="Z507" s="11">
        <f>IF(AQ507="5",BJ507,0)</f>
        <v>0</v>
      </c>
      <c r="AB507" s="11">
        <f>IF(AQ507="1",BH507,0)</f>
        <v>0</v>
      </c>
      <c r="AC507" s="11">
        <f>IF(AQ507="1",BI507,0)</f>
        <v>0</v>
      </c>
      <c r="AD507" s="11">
        <f>IF(AQ507="7",BH507,0)</f>
        <v>0</v>
      </c>
      <c r="AE507" s="11">
        <f>IF(AQ507="7",BI507,0)</f>
        <v>0</v>
      </c>
      <c r="AF507" s="11">
        <f>IF(AQ507="2",BH507,0)</f>
        <v>0</v>
      </c>
      <c r="AG507" s="11">
        <f>IF(AQ507="2",BI507,0)</f>
        <v>0</v>
      </c>
      <c r="AH507" s="11">
        <f>IF(AQ507="0",BJ507,0)</f>
        <v>0</v>
      </c>
      <c r="AI507" s="26" t="s">
        <v>78</v>
      </c>
      <c r="AJ507" s="21">
        <f>IF(AN507=0,K507,0)</f>
        <v>0</v>
      </c>
      <c r="AK507" s="21">
        <f>IF(AN507=15,K507,0)</f>
        <v>0</v>
      </c>
      <c r="AL507" s="21">
        <f>IF(AN507=21,K507,0)</f>
        <v>0</v>
      </c>
      <c r="AN507" s="11">
        <v>21</v>
      </c>
      <c r="AO507" s="11">
        <f>H507*1</f>
        <v>0</v>
      </c>
      <c r="AP507" s="11">
        <f>H507*(1-1)</f>
        <v>0</v>
      </c>
      <c r="AQ507" s="28" t="s">
        <v>144</v>
      </c>
      <c r="AV507" s="11">
        <f>AW507+AX507</f>
        <v>0</v>
      </c>
      <c r="AW507" s="11">
        <f>G507*AO507</f>
        <v>0</v>
      </c>
      <c r="AX507" s="11">
        <f>G507*AP507</f>
        <v>0</v>
      </c>
      <c r="AY507" s="29" t="s">
        <v>1085</v>
      </c>
      <c r="AZ507" s="29" t="s">
        <v>1120</v>
      </c>
      <c r="BA507" s="26" t="s">
        <v>1130</v>
      </c>
      <c r="BC507" s="11">
        <f>AW507+AX507</f>
        <v>0</v>
      </c>
      <c r="BD507" s="11">
        <f>H507/(100-BE507)*100</f>
        <v>0</v>
      </c>
      <c r="BE507" s="11">
        <v>0</v>
      </c>
      <c r="BF507" s="11">
        <f>L507</f>
        <v>8392.827299999999</v>
      </c>
      <c r="BH507" s="21">
        <f>G507*AO507</f>
        <v>0</v>
      </c>
      <c r="BI507" s="21">
        <f>G507*AP507</f>
        <v>0</v>
      </c>
      <c r="BJ507" s="21">
        <f>G507*H507</f>
        <v>0</v>
      </c>
      <c r="BK507" s="21" t="s">
        <v>1165</v>
      </c>
      <c r="BL507" s="11">
        <v>776</v>
      </c>
    </row>
    <row r="508" spans="1:64" x14ac:dyDescent="0.2">
      <c r="A508" s="35"/>
      <c r="B508" s="36"/>
      <c r="C508" s="81" t="s">
        <v>818</v>
      </c>
      <c r="D508" s="36"/>
      <c r="E508" s="82"/>
      <c r="F508" s="36"/>
      <c r="G508" s="83">
        <v>15.048999999999999</v>
      </c>
      <c r="H508" s="36"/>
      <c r="I508" s="36"/>
      <c r="J508" s="36"/>
      <c r="K508" s="36"/>
      <c r="L508" s="36"/>
      <c r="M508" s="35"/>
      <c r="N508" s="32"/>
    </row>
    <row r="509" spans="1:64" x14ac:dyDescent="0.2">
      <c r="A509" s="35"/>
      <c r="B509" s="36"/>
      <c r="C509" s="81" t="s">
        <v>819</v>
      </c>
      <c r="D509" s="36"/>
      <c r="E509" s="82"/>
      <c r="F509" s="36"/>
      <c r="G509" s="83">
        <v>1.5048999999999999</v>
      </c>
      <c r="H509" s="36"/>
      <c r="I509" s="36"/>
      <c r="J509" s="36"/>
      <c r="K509" s="36"/>
      <c r="L509" s="36"/>
      <c r="M509" s="35"/>
      <c r="N509" s="32"/>
    </row>
    <row r="510" spans="1:64" x14ac:dyDescent="0.2">
      <c r="A510" s="79" t="s">
        <v>297</v>
      </c>
      <c r="B510" s="79" t="s">
        <v>444</v>
      </c>
      <c r="C510" s="194" t="s">
        <v>820</v>
      </c>
      <c r="D510" s="195"/>
      <c r="E510" s="195"/>
      <c r="F510" s="79" t="s">
        <v>1051</v>
      </c>
      <c r="G510" s="80">
        <v>34.4</v>
      </c>
      <c r="H510" s="80">
        <v>0</v>
      </c>
      <c r="I510" s="80">
        <f>G510*AO510</f>
        <v>0</v>
      </c>
      <c r="J510" s="80">
        <f>G510*AP510</f>
        <v>0</v>
      </c>
      <c r="K510" s="80">
        <f>G510*H510</f>
        <v>0</v>
      </c>
      <c r="L510" s="80">
        <f>G510*510</f>
        <v>17544</v>
      </c>
      <c r="M510" s="94" t="s">
        <v>1066</v>
      </c>
      <c r="N510" s="32"/>
      <c r="Z510" s="11">
        <f>IF(AQ510="5",BJ510,0)</f>
        <v>0</v>
      </c>
      <c r="AB510" s="11">
        <f>IF(AQ510="1",BH510,0)</f>
        <v>0</v>
      </c>
      <c r="AC510" s="11">
        <f>IF(AQ510="1",BI510,0)</f>
        <v>0</v>
      </c>
      <c r="AD510" s="11">
        <f>IF(AQ510="7",BH510,0)</f>
        <v>0</v>
      </c>
      <c r="AE510" s="11">
        <f>IF(AQ510="7",BI510,0)</f>
        <v>0</v>
      </c>
      <c r="AF510" s="11">
        <f>IF(AQ510="2",BH510,0)</f>
        <v>0</v>
      </c>
      <c r="AG510" s="11">
        <f>IF(AQ510="2",BI510,0)</f>
        <v>0</v>
      </c>
      <c r="AH510" s="11">
        <f>IF(AQ510="0",BJ510,0)</f>
        <v>0</v>
      </c>
      <c r="AI510" s="26" t="s">
        <v>78</v>
      </c>
      <c r="AJ510" s="20">
        <f>IF(AN510=0,K510,0)</f>
        <v>0</v>
      </c>
      <c r="AK510" s="20">
        <f>IF(AN510=15,K510,0)</f>
        <v>0</v>
      </c>
      <c r="AL510" s="20">
        <f>IF(AN510=21,K510,0)</f>
        <v>0</v>
      </c>
      <c r="AN510" s="11">
        <v>21</v>
      </c>
      <c r="AO510" s="11">
        <f>H510*0.107106382978723</f>
        <v>0</v>
      </c>
      <c r="AP510" s="11">
        <f>H510*(1-0.107106382978723)</f>
        <v>0</v>
      </c>
      <c r="AQ510" s="27" t="s">
        <v>144</v>
      </c>
      <c r="AV510" s="11">
        <f>AW510+AX510</f>
        <v>0</v>
      </c>
      <c r="AW510" s="11">
        <f>G510*AO510</f>
        <v>0</v>
      </c>
      <c r="AX510" s="11">
        <f>G510*AP510</f>
        <v>0</v>
      </c>
      <c r="AY510" s="29" t="s">
        <v>1085</v>
      </c>
      <c r="AZ510" s="29" t="s">
        <v>1120</v>
      </c>
      <c r="BA510" s="26" t="s">
        <v>1130</v>
      </c>
      <c r="BB510" s="26" t="s">
        <v>1142</v>
      </c>
      <c r="BC510" s="11">
        <f>AW510+AX510</f>
        <v>0</v>
      </c>
      <c r="BD510" s="11">
        <f>H510/(100-BE510)*100</f>
        <v>0</v>
      </c>
      <c r="BE510" s="11">
        <v>0</v>
      </c>
      <c r="BF510" s="11">
        <f>L510</f>
        <v>17544</v>
      </c>
      <c r="BH510" s="20">
        <f>G510*AO510</f>
        <v>0</v>
      </c>
      <c r="BI510" s="20">
        <f>G510*AP510</f>
        <v>0</v>
      </c>
      <c r="BJ510" s="20">
        <f>G510*H510</f>
        <v>0</v>
      </c>
      <c r="BK510" s="20" t="s">
        <v>1164</v>
      </c>
      <c r="BL510" s="11">
        <v>776</v>
      </c>
    </row>
    <row r="511" spans="1:64" x14ac:dyDescent="0.2">
      <c r="A511" s="35"/>
      <c r="B511" s="86" t="s">
        <v>354</v>
      </c>
      <c r="C511" s="196" t="s">
        <v>821</v>
      </c>
      <c r="D511" s="197"/>
      <c r="E511" s="197"/>
      <c r="F511" s="197"/>
      <c r="G511" s="197"/>
      <c r="H511" s="197"/>
      <c r="I511" s="197"/>
      <c r="J511" s="197"/>
      <c r="K511" s="197"/>
      <c r="L511" s="197"/>
      <c r="M511" s="197"/>
      <c r="N511" s="32"/>
    </row>
    <row r="512" spans="1:64" x14ac:dyDescent="0.2">
      <c r="A512" s="35"/>
      <c r="B512" s="36"/>
      <c r="C512" s="81" t="s">
        <v>811</v>
      </c>
      <c r="D512" s="36"/>
      <c r="E512" s="82"/>
      <c r="F512" s="36"/>
      <c r="G512" s="83">
        <v>34.4</v>
      </c>
      <c r="H512" s="36"/>
      <c r="I512" s="36"/>
      <c r="J512" s="36"/>
      <c r="K512" s="36"/>
      <c r="L512" s="36"/>
      <c r="M512" s="35"/>
      <c r="N512" s="32"/>
    </row>
    <row r="513" spans="1:64" x14ac:dyDescent="0.2">
      <c r="A513" s="84" t="s">
        <v>298</v>
      </c>
      <c r="B513" s="84" t="s">
        <v>400</v>
      </c>
      <c r="C513" s="198" t="s">
        <v>628</v>
      </c>
      <c r="D513" s="199"/>
      <c r="E513" s="199"/>
      <c r="F513" s="84" t="s">
        <v>1050</v>
      </c>
      <c r="G513" s="85">
        <v>11.868</v>
      </c>
      <c r="H513" s="85">
        <v>0</v>
      </c>
      <c r="I513" s="85">
        <f>G513*AO513</f>
        <v>0</v>
      </c>
      <c r="J513" s="85">
        <f>G513*AP513</f>
        <v>0</v>
      </c>
      <c r="K513" s="85">
        <f>G513*H513</f>
        <v>0</v>
      </c>
      <c r="L513" s="85">
        <f>G513*513</f>
        <v>6088.2840000000006</v>
      </c>
      <c r="M513" s="95" t="s">
        <v>1067</v>
      </c>
      <c r="N513" s="32"/>
      <c r="Z513" s="11">
        <f>IF(AQ513="5",BJ513,0)</f>
        <v>0</v>
      </c>
      <c r="AB513" s="11">
        <f>IF(AQ513="1",BH513,0)</f>
        <v>0</v>
      </c>
      <c r="AC513" s="11">
        <f>IF(AQ513="1",BI513,0)</f>
        <v>0</v>
      </c>
      <c r="AD513" s="11">
        <f>IF(AQ513="7",BH513,0)</f>
        <v>0</v>
      </c>
      <c r="AE513" s="11">
        <f>IF(AQ513="7",BI513,0)</f>
        <v>0</v>
      </c>
      <c r="AF513" s="11">
        <f>IF(AQ513="2",BH513,0)</f>
        <v>0</v>
      </c>
      <c r="AG513" s="11">
        <f>IF(AQ513="2",BI513,0)</f>
        <v>0</v>
      </c>
      <c r="AH513" s="11">
        <f>IF(AQ513="0",BJ513,0)</f>
        <v>0</v>
      </c>
      <c r="AI513" s="26" t="s">
        <v>78</v>
      </c>
      <c r="AJ513" s="21">
        <f>IF(AN513=0,K513,0)</f>
        <v>0</v>
      </c>
      <c r="AK513" s="21">
        <f>IF(AN513=15,K513,0)</f>
        <v>0</v>
      </c>
      <c r="AL513" s="21">
        <f>IF(AN513=21,K513,0)</f>
        <v>0</v>
      </c>
      <c r="AN513" s="11">
        <v>21</v>
      </c>
      <c r="AO513" s="11">
        <f>H513*1</f>
        <v>0</v>
      </c>
      <c r="AP513" s="11">
        <f>H513*(1-1)</f>
        <v>0</v>
      </c>
      <c r="AQ513" s="28" t="s">
        <v>144</v>
      </c>
      <c r="AV513" s="11">
        <f>AW513+AX513</f>
        <v>0</v>
      </c>
      <c r="AW513" s="11">
        <f>G513*AO513</f>
        <v>0</v>
      </c>
      <c r="AX513" s="11">
        <f>G513*AP513</f>
        <v>0</v>
      </c>
      <c r="AY513" s="29" t="s">
        <v>1085</v>
      </c>
      <c r="AZ513" s="29" t="s">
        <v>1120</v>
      </c>
      <c r="BA513" s="26" t="s">
        <v>1130</v>
      </c>
      <c r="BC513" s="11">
        <f>AW513+AX513</f>
        <v>0</v>
      </c>
      <c r="BD513" s="11">
        <f>H513/(100-BE513)*100</f>
        <v>0</v>
      </c>
      <c r="BE513" s="11">
        <v>0</v>
      </c>
      <c r="BF513" s="11">
        <f>L513</f>
        <v>6088.2840000000006</v>
      </c>
      <c r="BH513" s="21">
        <f>G513*AO513</f>
        <v>0</v>
      </c>
      <c r="BI513" s="21">
        <f>G513*AP513</f>
        <v>0</v>
      </c>
      <c r="BJ513" s="21">
        <f>G513*H513</f>
        <v>0</v>
      </c>
      <c r="BK513" s="21" t="s">
        <v>1165</v>
      </c>
      <c r="BL513" s="11">
        <v>776</v>
      </c>
    </row>
    <row r="514" spans="1:64" x14ac:dyDescent="0.2">
      <c r="A514" s="35"/>
      <c r="B514" s="36"/>
      <c r="C514" s="81" t="s">
        <v>822</v>
      </c>
      <c r="D514" s="36"/>
      <c r="E514" s="82"/>
      <c r="F514" s="36"/>
      <c r="G514" s="83">
        <v>10.32</v>
      </c>
      <c r="H514" s="36"/>
      <c r="I514" s="36"/>
      <c r="J514" s="36"/>
      <c r="K514" s="36"/>
      <c r="L514" s="36"/>
      <c r="M514" s="35"/>
      <c r="N514" s="32"/>
    </row>
    <row r="515" spans="1:64" x14ac:dyDescent="0.2">
      <c r="A515" s="35"/>
      <c r="B515" s="36"/>
      <c r="C515" s="81" t="s">
        <v>823</v>
      </c>
      <c r="D515" s="36"/>
      <c r="E515" s="82"/>
      <c r="F515" s="36"/>
      <c r="G515" s="83">
        <v>1.548</v>
      </c>
      <c r="H515" s="36"/>
      <c r="I515" s="36"/>
      <c r="J515" s="36"/>
      <c r="K515" s="36"/>
      <c r="L515" s="36"/>
      <c r="M515" s="35"/>
      <c r="N515" s="32"/>
    </row>
    <row r="516" spans="1:64" x14ac:dyDescent="0.2">
      <c r="A516" s="79" t="s">
        <v>299</v>
      </c>
      <c r="B516" s="79" t="s">
        <v>445</v>
      </c>
      <c r="C516" s="194" t="s">
        <v>824</v>
      </c>
      <c r="D516" s="195"/>
      <c r="E516" s="195"/>
      <c r="F516" s="79" t="s">
        <v>1051</v>
      </c>
      <c r="G516" s="80">
        <v>36.119999999999997</v>
      </c>
      <c r="H516" s="80">
        <v>0</v>
      </c>
      <c r="I516" s="80">
        <f>G516*AO516</f>
        <v>0</v>
      </c>
      <c r="J516" s="80">
        <f>G516*AP516</f>
        <v>0</v>
      </c>
      <c r="K516" s="80">
        <f>G516*H516</f>
        <v>0</v>
      </c>
      <c r="L516" s="80">
        <f>G516*516</f>
        <v>18637.919999999998</v>
      </c>
      <c r="M516" s="94" t="s">
        <v>1066</v>
      </c>
      <c r="N516" s="32"/>
      <c r="Z516" s="11">
        <f>IF(AQ516="5",BJ516,0)</f>
        <v>0</v>
      </c>
      <c r="AB516" s="11">
        <f>IF(AQ516="1",BH516,0)</f>
        <v>0</v>
      </c>
      <c r="AC516" s="11">
        <f>IF(AQ516="1",BI516,0)</f>
        <v>0</v>
      </c>
      <c r="AD516" s="11">
        <f>IF(AQ516="7",BH516,0)</f>
        <v>0</v>
      </c>
      <c r="AE516" s="11">
        <f>IF(AQ516="7",BI516,0)</f>
        <v>0</v>
      </c>
      <c r="AF516" s="11">
        <f>IF(AQ516="2",BH516,0)</f>
        <v>0</v>
      </c>
      <c r="AG516" s="11">
        <f>IF(AQ516="2",BI516,0)</f>
        <v>0</v>
      </c>
      <c r="AH516" s="11">
        <f>IF(AQ516="0",BJ516,0)</f>
        <v>0</v>
      </c>
      <c r="AI516" s="26" t="s">
        <v>78</v>
      </c>
      <c r="AJ516" s="20">
        <f>IF(AN516=0,K516,0)</f>
        <v>0</v>
      </c>
      <c r="AK516" s="20">
        <f>IF(AN516=15,K516,0)</f>
        <v>0</v>
      </c>
      <c r="AL516" s="20">
        <f>IF(AN516=21,K516,0)</f>
        <v>0</v>
      </c>
      <c r="AN516" s="11">
        <v>21</v>
      </c>
      <c r="AO516" s="11">
        <f>H516*0.627634911946243</f>
        <v>0</v>
      </c>
      <c r="AP516" s="11">
        <f>H516*(1-0.627634911946243)</f>
        <v>0</v>
      </c>
      <c r="AQ516" s="27" t="s">
        <v>144</v>
      </c>
      <c r="AV516" s="11">
        <f>AW516+AX516</f>
        <v>0</v>
      </c>
      <c r="AW516" s="11">
        <f>G516*AO516</f>
        <v>0</v>
      </c>
      <c r="AX516" s="11">
        <f>G516*AP516</f>
        <v>0</v>
      </c>
      <c r="AY516" s="29" t="s">
        <v>1085</v>
      </c>
      <c r="AZ516" s="29" t="s">
        <v>1120</v>
      </c>
      <c r="BA516" s="26" t="s">
        <v>1130</v>
      </c>
      <c r="BB516" s="26" t="s">
        <v>1142</v>
      </c>
      <c r="BC516" s="11">
        <f>AW516+AX516</f>
        <v>0</v>
      </c>
      <c r="BD516" s="11">
        <f>H516/(100-BE516)*100</f>
        <v>0</v>
      </c>
      <c r="BE516" s="11">
        <v>0</v>
      </c>
      <c r="BF516" s="11">
        <f>L516</f>
        <v>18637.919999999998</v>
      </c>
      <c r="BH516" s="20">
        <f>G516*AO516</f>
        <v>0</v>
      </c>
      <c r="BI516" s="20">
        <f>G516*AP516</f>
        <v>0</v>
      </c>
      <c r="BJ516" s="20">
        <f>G516*H516</f>
        <v>0</v>
      </c>
      <c r="BK516" s="20" t="s">
        <v>1164</v>
      </c>
      <c r="BL516" s="11">
        <v>776</v>
      </c>
    </row>
    <row r="517" spans="1:64" x14ac:dyDescent="0.2">
      <c r="A517" s="35"/>
      <c r="B517" s="86" t="s">
        <v>354</v>
      </c>
      <c r="C517" s="196" t="s">
        <v>825</v>
      </c>
      <c r="D517" s="197"/>
      <c r="E517" s="197"/>
      <c r="F517" s="197"/>
      <c r="G517" s="197"/>
      <c r="H517" s="197"/>
      <c r="I517" s="197"/>
      <c r="J517" s="197"/>
      <c r="K517" s="197"/>
      <c r="L517" s="197"/>
      <c r="M517" s="197"/>
      <c r="N517" s="32"/>
    </row>
    <row r="518" spans="1:64" x14ac:dyDescent="0.2">
      <c r="A518" s="35"/>
      <c r="B518" s="36"/>
      <c r="C518" s="81" t="s">
        <v>826</v>
      </c>
      <c r="D518" s="36"/>
      <c r="E518" s="82"/>
      <c r="F518" s="36"/>
      <c r="G518" s="83">
        <v>36.119999999999997</v>
      </c>
      <c r="H518" s="36"/>
      <c r="I518" s="36"/>
      <c r="J518" s="36"/>
      <c r="K518" s="36"/>
      <c r="L518" s="36"/>
      <c r="M518" s="35"/>
      <c r="N518" s="32"/>
    </row>
    <row r="519" spans="1:64" x14ac:dyDescent="0.2">
      <c r="A519" s="79" t="s">
        <v>300</v>
      </c>
      <c r="B519" s="79" t="s">
        <v>446</v>
      </c>
      <c r="C519" s="194" t="s">
        <v>827</v>
      </c>
      <c r="D519" s="195"/>
      <c r="E519" s="195"/>
      <c r="F519" s="79" t="s">
        <v>1051</v>
      </c>
      <c r="G519" s="80">
        <v>30.4</v>
      </c>
      <c r="H519" s="80">
        <v>0</v>
      </c>
      <c r="I519" s="80">
        <f>G519*AO519</f>
        <v>0</v>
      </c>
      <c r="J519" s="80">
        <f>G519*AP519</f>
        <v>0</v>
      </c>
      <c r="K519" s="80">
        <f>G519*H519</f>
        <v>0</v>
      </c>
      <c r="L519" s="80">
        <f>G519*519</f>
        <v>15777.599999999999</v>
      </c>
      <c r="M519" s="94" t="s">
        <v>1066</v>
      </c>
      <c r="N519" s="32"/>
      <c r="Z519" s="11">
        <f>IF(AQ519="5",BJ519,0)</f>
        <v>0</v>
      </c>
      <c r="AB519" s="11">
        <f>IF(AQ519="1",BH519,0)</f>
        <v>0</v>
      </c>
      <c r="AC519" s="11">
        <f>IF(AQ519="1",BI519,0)</f>
        <v>0</v>
      </c>
      <c r="AD519" s="11">
        <f>IF(AQ519="7",BH519,0)</f>
        <v>0</v>
      </c>
      <c r="AE519" s="11">
        <f>IF(AQ519="7",BI519,0)</f>
        <v>0</v>
      </c>
      <c r="AF519" s="11">
        <f>IF(AQ519="2",BH519,0)</f>
        <v>0</v>
      </c>
      <c r="AG519" s="11">
        <f>IF(AQ519="2",BI519,0)</f>
        <v>0</v>
      </c>
      <c r="AH519" s="11">
        <f>IF(AQ519="0",BJ519,0)</f>
        <v>0</v>
      </c>
      <c r="AI519" s="26" t="s">
        <v>78</v>
      </c>
      <c r="AJ519" s="20">
        <f>IF(AN519=0,K519,0)</f>
        <v>0</v>
      </c>
      <c r="AK519" s="20">
        <f>IF(AN519=15,K519,0)</f>
        <v>0</v>
      </c>
      <c r="AL519" s="20">
        <f>IF(AN519=21,K519,0)</f>
        <v>0</v>
      </c>
      <c r="AN519" s="11">
        <v>21</v>
      </c>
      <c r="AO519" s="11">
        <f>H519*0.328609292671244</f>
        <v>0</v>
      </c>
      <c r="AP519" s="11">
        <f>H519*(1-0.328609292671244)</f>
        <v>0</v>
      </c>
      <c r="AQ519" s="27" t="s">
        <v>144</v>
      </c>
      <c r="AV519" s="11">
        <f>AW519+AX519</f>
        <v>0</v>
      </c>
      <c r="AW519" s="11">
        <f>G519*AO519</f>
        <v>0</v>
      </c>
      <c r="AX519" s="11">
        <f>G519*AP519</f>
        <v>0</v>
      </c>
      <c r="AY519" s="29" t="s">
        <v>1085</v>
      </c>
      <c r="AZ519" s="29" t="s">
        <v>1120</v>
      </c>
      <c r="BA519" s="26" t="s">
        <v>1130</v>
      </c>
      <c r="BB519" s="26" t="s">
        <v>1142</v>
      </c>
      <c r="BC519" s="11">
        <f>AW519+AX519</f>
        <v>0</v>
      </c>
      <c r="BD519" s="11">
        <f>H519/(100-BE519)*100</f>
        <v>0</v>
      </c>
      <c r="BE519" s="11">
        <v>0</v>
      </c>
      <c r="BF519" s="11">
        <f>L519</f>
        <v>15777.599999999999</v>
      </c>
      <c r="BH519" s="20">
        <f>G519*AO519</f>
        <v>0</v>
      </c>
      <c r="BI519" s="20">
        <f>G519*AP519</f>
        <v>0</v>
      </c>
      <c r="BJ519" s="20">
        <f>G519*H519</f>
        <v>0</v>
      </c>
      <c r="BK519" s="20" t="s">
        <v>1164</v>
      </c>
      <c r="BL519" s="11">
        <v>776</v>
      </c>
    </row>
    <row r="520" spans="1:64" x14ac:dyDescent="0.2">
      <c r="A520" s="35"/>
      <c r="B520" s="86" t="s">
        <v>354</v>
      </c>
      <c r="C520" s="196" t="s">
        <v>828</v>
      </c>
      <c r="D520" s="197"/>
      <c r="E520" s="197"/>
      <c r="F520" s="197"/>
      <c r="G520" s="197"/>
      <c r="H520" s="197"/>
      <c r="I520" s="197"/>
      <c r="J520" s="197"/>
      <c r="K520" s="197"/>
      <c r="L520" s="197"/>
      <c r="M520" s="197"/>
      <c r="N520" s="32"/>
    </row>
    <row r="521" spans="1:64" x14ac:dyDescent="0.2">
      <c r="A521" s="35"/>
      <c r="B521" s="36"/>
      <c r="C521" s="81" t="s">
        <v>829</v>
      </c>
      <c r="D521" s="36"/>
      <c r="E521" s="82"/>
      <c r="F521" s="36"/>
      <c r="G521" s="83">
        <v>16.8</v>
      </c>
      <c r="H521" s="36"/>
      <c r="I521" s="36"/>
      <c r="J521" s="36"/>
      <c r="K521" s="36"/>
      <c r="L521" s="36"/>
      <c r="M521" s="35"/>
      <c r="N521" s="32"/>
    </row>
    <row r="522" spans="1:64" x14ac:dyDescent="0.2">
      <c r="A522" s="35"/>
      <c r="B522" s="36"/>
      <c r="C522" s="81" t="s">
        <v>830</v>
      </c>
      <c r="D522" s="36"/>
      <c r="E522" s="82"/>
      <c r="F522" s="36"/>
      <c r="G522" s="83">
        <v>13.6</v>
      </c>
      <c r="H522" s="36"/>
      <c r="I522" s="36"/>
      <c r="J522" s="36"/>
      <c r="K522" s="36"/>
      <c r="L522" s="36"/>
      <c r="M522" s="35"/>
      <c r="N522" s="32"/>
    </row>
    <row r="523" spans="1:64" x14ac:dyDescent="0.2">
      <c r="A523" s="77"/>
      <c r="B523" s="76" t="s">
        <v>94</v>
      </c>
      <c r="C523" s="204" t="s">
        <v>120</v>
      </c>
      <c r="D523" s="205"/>
      <c r="E523" s="205"/>
      <c r="F523" s="77" t="s">
        <v>60</v>
      </c>
      <c r="G523" s="77" t="s">
        <v>60</v>
      </c>
      <c r="H523" s="77" t="s">
        <v>60</v>
      </c>
      <c r="I523" s="78">
        <f>SUM(I524:I524)</f>
        <v>0</v>
      </c>
      <c r="J523" s="78">
        <f>SUM(J524:J524)</f>
        <v>0</v>
      </c>
      <c r="K523" s="78">
        <f>SUM(K524:K524)</f>
        <v>0</v>
      </c>
      <c r="L523" s="78">
        <f>SUM(L524:L524)</f>
        <v>55751.3992</v>
      </c>
      <c r="M523" s="93"/>
      <c r="N523" s="32"/>
      <c r="AI523" s="26" t="s">
        <v>78</v>
      </c>
      <c r="AS523" s="31">
        <f>SUM(AJ524:AJ524)</f>
        <v>0</v>
      </c>
      <c r="AT523" s="31">
        <f>SUM(AK524:AK524)</f>
        <v>0</v>
      </c>
      <c r="AU523" s="31">
        <f>SUM(AL524:AL524)</f>
        <v>0</v>
      </c>
    </row>
    <row r="524" spans="1:64" x14ac:dyDescent="0.2">
      <c r="A524" s="79" t="s">
        <v>301</v>
      </c>
      <c r="B524" s="79" t="s">
        <v>407</v>
      </c>
      <c r="C524" s="194" t="s">
        <v>646</v>
      </c>
      <c r="D524" s="195"/>
      <c r="E524" s="195"/>
      <c r="F524" s="79" t="s">
        <v>1050</v>
      </c>
      <c r="G524" s="80">
        <v>106.39579999999999</v>
      </c>
      <c r="H524" s="80">
        <v>0</v>
      </c>
      <c r="I524" s="80">
        <f>G524*AO524</f>
        <v>0</v>
      </c>
      <c r="J524" s="80">
        <f>G524*AP524</f>
        <v>0</v>
      </c>
      <c r="K524" s="80">
        <f>G524*H524</f>
        <v>0</v>
      </c>
      <c r="L524" s="80">
        <f>G524*524</f>
        <v>55751.3992</v>
      </c>
      <c r="M524" s="94" t="s">
        <v>1066</v>
      </c>
      <c r="N524" s="32"/>
      <c r="Z524" s="11">
        <f>IF(AQ524="5",BJ524,0)</f>
        <v>0</v>
      </c>
      <c r="AB524" s="11">
        <f>IF(AQ524="1",BH524,0)</f>
        <v>0</v>
      </c>
      <c r="AC524" s="11">
        <f>IF(AQ524="1",BI524,0)</f>
        <v>0</v>
      </c>
      <c r="AD524" s="11">
        <f>IF(AQ524="7",BH524,0)</f>
        <v>0</v>
      </c>
      <c r="AE524" s="11">
        <f>IF(AQ524="7",BI524,0)</f>
        <v>0</v>
      </c>
      <c r="AF524" s="11">
        <f>IF(AQ524="2",BH524,0)</f>
        <v>0</v>
      </c>
      <c r="AG524" s="11">
        <f>IF(AQ524="2",BI524,0)</f>
        <v>0</v>
      </c>
      <c r="AH524" s="11">
        <f>IF(AQ524="0",BJ524,0)</f>
        <v>0</v>
      </c>
      <c r="AI524" s="26" t="s">
        <v>78</v>
      </c>
      <c r="AJ524" s="20">
        <f>IF(AN524=0,K524,0)</f>
        <v>0</v>
      </c>
      <c r="AK524" s="20">
        <f>IF(AN524=15,K524,0)</f>
        <v>0</v>
      </c>
      <c r="AL524" s="20">
        <f>IF(AN524=21,K524,0)</f>
        <v>0</v>
      </c>
      <c r="AN524" s="11">
        <v>21</v>
      </c>
      <c r="AO524" s="11">
        <f>H524*0.145612417209201</f>
        <v>0</v>
      </c>
      <c r="AP524" s="11">
        <f>H524*(1-0.145612417209201)</f>
        <v>0</v>
      </c>
      <c r="AQ524" s="27" t="s">
        <v>144</v>
      </c>
      <c r="AV524" s="11">
        <f>AW524+AX524</f>
        <v>0</v>
      </c>
      <c r="AW524" s="11">
        <f>G524*AO524</f>
        <v>0</v>
      </c>
      <c r="AX524" s="11">
        <f>G524*AP524</f>
        <v>0</v>
      </c>
      <c r="AY524" s="29" t="s">
        <v>1087</v>
      </c>
      <c r="AZ524" s="29" t="s">
        <v>1121</v>
      </c>
      <c r="BA524" s="26" t="s">
        <v>1130</v>
      </c>
      <c r="BB524" s="26" t="s">
        <v>1144</v>
      </c>
      <c r="BC524" s="11">
        <f>AW524+AX524</f>
        <v>0</v>
      </c>
      <c r="BD524" s="11">
        <f>H524/(100-BE524)*100</f>
        <v>0</v>
      </c>
      <c r="BE524" s="11">
        <v>0</v>
      </c>
      <c r="BF524" s="11">
        <f>L524</f>
        <v>55751.3992</v>
      </c>
      <c r="BH524" s="20">
        <f>G524*AO524</f>
        <v>0</v>
      </c>
      <c r="BI524" s="20">
        <f>G524*AP524</f>
        <v>0</v>
      </c>
      <c r="BJ524" s="20">
        <f>G524*H524</f>
        <v>0</v>
      </c>
      <c r="BK524" s="20" t="s">
        <v>1164</v>
      </c>
      <c r="BL524" s="11">
        <v>784</v>
      </c>
    </row>
    <row r="525" spans="1:64" ht="25.7" customHeight="1" x14ac:dyDescent="0.2">
      <c r="A525" s="35"/>
      <c r="B525" s="86" t="s">
        <v>354</v>
      </c>
      <c r="C525" s="196" t="s">
        <v>647</v>
      </c>
      <c r="D525" s="197"/>
      <c r="E525" s="197"/>
      <c r="F525" s="197"/>
      <c r="G525" s="197"/>
      <c r="H525" s="197"/>
      <c r="I525" s="197"/>
      <c r="J525" s="197"/>
      <c r="K525" s="197"/>
      <c r="L525" s="197"/>
      <c r="M525" s="197"/>
      <c r="N525" s="32"/>
    </row>
    <row r="526" spans="1:64" x14ac:dyDescent="0.2">
      <c r="A526" s="35"/>
      <c r="B526" s="36"/>
      <c r="C526" s="81" t="s">
        <v>831</v>
      </c>
      <c r="D526" s="36"/>
      <c r="E526" s="82"/>
      <c r="F526" s="36"/>
      <c r="G526" s="83">
        <v>17.1158</v>
      </c>
      <c r="H526" s="36"/>
      <c r="I526" s="36"/>
      <c r="J526" s="36"/>
      <c r="K526" s="36"/>
      <c r="L526" s="36"/>
      <c r="M526" s="35"/>
      <c r="N526" s="32"/>
    </row>
    <row r="527" spans="1:64" x14ac:dyDescent="0.2">
      <c r="A527" s="35"/>
      <c r="B527" s="36"/>
      <c r="C527" s="81" t="s">
        <v>832</v>
      </c>
      <c r="D527" s="36"/>
      <c r="E527" s="82"/>
      <c r="F527" s="36"/>
      <c r="G527" s="83">
        <v>89.28</v>
      </c>
      <c r="H527" s="36"/>
      <c r="I527" s="36"/>
      <c r="J527" s="36"/>
      <c r="K527" s="36"/>
      <c r="L527" s="36"/>
      <c r="M527" s="35"/>
      <c r="N527" s="32"/>
    </row>
    <row r="528" spans="1:64" x14ac:dyDescent="0.2">
      <c r="A528" s="77"/>
      <c r="B528" s="76" t="s">
        <v>102</v>
      </c>
      <c r="C528" s="204" t="s">
        <v>127</v>
      </c>
      <c r="D528" s="205"/>
      <c r="E528" s="205"/>
      <c r="F528" s="77" t="s">
        <v>60</v>
      </c>
      <c r="G528" s="77" t="s">
        <v>60</v>
      </c>
      <c r="H528" s="77" t="s">
        <v>60</v>
      </c>
      <c r="I528" s="78">
        <f>SUM(I529:I529)</f>
        <v>0</v>
      </c>
      <c r="J528" s="78">
        <f>SUM(J529:J529)</f>
        <v>0</v>
      </c>
      <c r="K528" s="78">
        <f>SUM(K529:K529)</f>
        <v>0</v>
      </c>
      <c r="L528" s="78">
        <f>SUM(L529:L529)</f>
        <v>1587</v>
      </c>
      <c r="M528" s="93"/>
      <c r="N528" s="32"/>
      <c r="AI528" s="26" t="s">
        <v>78</v>
      </c>
      <c r="AS528" s="31">
        <f>SUM(AJ529:AJ529)</f>
        <v>0</v>
      </c>
      <c r="AT528" s="31">
        <f>SUM(AK529:AK529)</f>
        <v>0</v>
      </c>
      <c r="AU528" s="31">
        <f>SUM(AL529:AL529)</f>
        <v>0</v>
      </c>
    </row>
    <row r="529" spans="1:64" x14ac:dyDescent="0.2">
      <c r="A529" s="79" t="s">
        <v>302</v>
      </c>
      <c r="B529" s="79" t="s">
        <v>447</v>
      </c>
      <c r="C529" s="194" t="s">
        <v>833</v>
      </c>
      <c r="D529" s="195"/>
      <c r="E529" s="195"/>
      <c r="F529" s="79" t="s">
        <v>1055</v>
      </c>
      <c r="G529" s="80">
        <v>3</v>
      </c>
      <c r="H529" s="80">
        <v>0</v>
      </c>
      <c r="I529" s="80">
        <f>G529*AO529</f>
        <v>0</v>
      </c>
      <c r="J529" s="80">
        <f>G529*AP529</f>
        <v>0</v>
      </c>
      <c r="K529" s="80">
        <f>G529*H529</f>
        <v>0</v>
      </c>
      <c r="L529" s="80">
        <f>G529*529</f>
        <v>1587</v>
      </c>
      <c r="M529" s="94" t="s">
        <v>1066</v>
      </c>
      <c r="N529" s="32"/>
      <c r="Z529" s="11">
        <f>IF(AQ529="5",BJ529,0)</f>
        <v>0</v>
      </c>
      <c r="AB529" s="11">
        <f>IF(AQ529="1",BH529,0)</f>
        <v>0</v>
      </c>
      <c r="AC529" s="11">
        <f>IF(AQ529="1",BI529,0)</f>
        <v>0</v>
      </c>
      <c r="AD529" s="11">
        <f>IF(AQ529="7",BH529,0)</f>
        <v>0</v>
      </c>
      <c r="AE529" s="11">
        <f>IF(AQ529="7",BI529,0)</f>
        <v>0</v>
      </c>
      <c r="AF529" s="11">
        <f>IF(AQ529="2",BH529,0)</f>
        <v>0</v>
      </c>
      <c r="AG529" s="11">
        <f>IF(AQ529="2",BI529,0)</f>
        <v>0</v>
      </c>
      <c r="AH529" s="11">
        <f>IF(AQ529="0",BJ529,0)</f>
        <v>0</v>
      </c>
      <c r="AI529" s="26" t="s">
        <v>78</v>
      </c>
      <c r="AJ529" s="20">
        <f>IF(AN529=0,K529,0)</f>
        <v>0</v>
      </c>
      <c r="AK529" s="20">
        <f>IF(AN529=15,K529,0)</f>
        <v>0</v>
      </c>
      <c r="AL529" s="20">
        <f>IF(AN529=21,K529,0)</f>
        <v>0</v>
      </c>
      <c r="AN529" s="11">
        <v>21</v>
      </c>
      <c r="AO529" s="11">
        <f>H529*0</f>
        <v>0</v>
      </c>
      <c r="AP529" s="11">
        <f>H529*(1-0)</f>
        <v>0</v>
      </c>
      <c r="AQ529" s="27" t="s">
        <v>138</v>
      </c>
      <c r="AV529" s="11">
        <f>AW529+AX529</f>
        <v>0</v>
      </c>
      <c r="AW529" s="11">
        <f>G529*AO529</f>
        <v>0</v>
      </c>
      <c r="AX529" s="11">
        <f>G529*AP529</f>
        <v>0</v>
      </c>
      <c r="AY529" s="29" t="s">
        <v>1095</v>
      </c>
      <c r="AZ529" s="29" t="s">
        <v>1122</v>
      </c>
      <c r="BA529" s="26" t="s">
        <v>1130</v>
      </c>
      <c r="BB529" s="26" t="s">
        <v>1152</v>
      </c>
      <c r="BC529" s="11">
        <f>AW529+AX529</f>
        <v>0</v>
      </c>
      <c r="BD529" s="11">
        <f>H529/(100-BE529)*100</f>
        <v>0</v>
      </c>
      <c r="BE529" s="11">
        <v>0</v>
      </c>
      <c r="BF529" s="11">
        <f>L529</f>
        <v>1587</v>
      </c>
      <c r="BH529" s="20">
        <f>G529*AO529</f>
        <v>0</v>
      </c>
      <c r="BI529" s="20">
        <f>G529*AP529</f>
        <v>0</v>
      </c>
      <c r="BJ529" s="20">
        <f>G529*H529</f>
        <v>0</v>
      </c>
      <c r="BK529" s="20" t="s">
        <v>1164</v>
      </c>
      <c r="BL529" s="11">
        <v>90</v>
      </c>
    </row>
    <row r="530" spans="1:64" x14ac:dyDescent="0.2">
      <c r="A530" s="35"/>
      <c r="B530" s="86" t="s">
        <v>354</v>
      </c>
      <c r="C530" s="196" t="s">
        <v>834</v>
      </c>
      <c r="D530" s="197"/>
      <c r="E530" s="197"/>
      <c r="F530" s="197"/>
      <c r="G530" s="197"/>
      <c r="H530" s="197"/>
      <c r="I530" s="197"/>
      <c r="J530" s="197"/>
      <c r="K530" s="197"/>
      <c r="L530" s="197"/>
      <c r="M530" s="197"/>
      <c r="N530" s="32"/>
    </row>
    <row r="531" spans="1:64" x14ac:dyDescent="0.2">
      <c r="A531" s="35"/>
      <c r="B531" s="36"/>
      <c r="C531" s="81" t="s">
        <v>140</v>
      </c>
      <c r="D531" s="36"/>
      <c r="E531" s="82"/>
      <c r="F531" s="36"/>
      <c r="G531" s="83">
        <v>3</v>
      </c>
      <c r="H531" s="36"/>
      <c r="I531" s="36"/>
      <c r="J531" s="36"/>
      <c r="K531" s="36"/>
      <c r="L531" s="36"/>
      <c r="M531" s="35"/>
      <c r="N531" s="32"/>
    </row>
    <row r="532" spans="1:64" x14ac:dyDescent="0.2">
      <c r="A532" s="77"/>
      <c r="B532" s="76" t="s">
        <v>95</v>
      </c>
      <c r="C532" s="204" t="s">
        <v>121</v>
      </c>
      <c r="D532" s="205"/>
      <c r="E532" s="205"/>
      <c r="F532" s="77" t="s">
        <v>60</v>
      </c>
      <c r="G532" s="77" t="s">
        <v>60</v>
      </c>
      <c r="H532" s="77" t="s">
        <v>60</v>
      </c>
      <c r="I532" s="78">
        <f>SUM(I533:I533)</f>
        <v>0</v>
      </c>
      <c r="J532" s="78">
        <f>SUM(J533:J533)</f>
        <v>0</v>
      </c>
      <c r="K532" s="78">
        <f>SUM(K533:K533)</f>
        <v>0</v>
      </c>
      <c r="L532" s="78">
        <f>SUM(L533:L533)</f>
        <v>13521.677</v>
      </c>
      <c r="M532" s="93"/>
      <c r="N532" s="32"/>
      <c r="AI532" s="26" t="s">
        <v>78</v>
      </c>
      <c r="AS532" s="31">
        <f>SUM(AJ533:AJ533)</f>
        <v>0</v>
      </c>
      <c r="AT532" s="31">
        <f>SUM(AK533:AK533)</f>
        <v>0</v>
      </c>
      <c r="AU532" s="31">
        <f>SUM(AL533:AL533)</f>
        <v>0</v>
      </c>
    </row>
    <row r="533" spans="1:64" x14ac:dyDescent="0.2">
      <c r="A533" s="79" t="s">
        <v>303</v>
      </c>
      <c r="B533" s="79" t="s">
        <v>408</v>
      </c>
      <c r="C533" s="194" t="s">
        <v>659</v>
      </c>
      <c r="D533" s="195"/>
      <c r="E533" s="195"/>
      <c r="F533" s="79" t="s">
        <v>1050</v>
      </c>
      <c r="G533" s="80">
        <v>25.369</v>
      </c>
      <c r="H533" s="80">
        <v>0</v>
      </c>
      <c r="I533" s="80">
        <f>G533*AO533</f>
        <v>0</v>
      </c>
      <c r="J533" s="80">
        <f>G533*AP533</f>
        <v>0</v>
      </c>
      <c r="K533" s="80">
        <f>G533*H533</f>
        <v>0</v>
      </c>
      <c r="L533" s="80">
        <f>G533*533</f>
        <v>13521.677</v>
      </c>
      <c r="M533" s="94" t="s">
        <v>1066</v>
      </c>
      <c r="N533" s="32"/>
      <c r="Z533" s="11">
        <f>IF(AQ533="5",BJ533,0)</f>
        <v>0</v>
      </c>
      <c r="AB533" s="11">
        <f>IF(AQ533="1",BH533,0)</f>
        <v>0</v>
      </c>
      <c r="AC533" s="11">
        <f>IF(AQ533="1",BI533,0)</f>
        <v>0</v>
      </c>
      <c r="AD533" s="11">
        <f>IF(AQ533="7",BH533,0)</f>
        <v>0</v>
      </c>
      <c r="AE533" s="11">
        <f>IF(AQ533="7",BI533,0)</f>
        <v>0</v>
      </c>
      <c r="AF533" s="11">
        <f>IF(AQ533="2",BH533,0)</f>
        <v>0</v>
      </c>
      <c r="AG533" s="11">
        <f>IF(AQ533="2",BI533,0)</f>
        <v>0</v>
      </c>
      <c r="AH533" s="11">
        <f>IF(AQ533="0",BJ533,0)</f>
        <v>0</v>
      </c>
      <c r="AI533" s="26" t="s">
        <v>78</v>
      </c>
      <c r="AJ533" s="20">
        <f>IF(AN533=0,K533,0)</f>
        <v>0</v>
      </c>
      <c r="AK533" s="20">
        <f>IF(AN533=15,K533,0)</f>
        <v>0</v>
      </c>
      <c r="AL533" s="20">
        <f>IF(AN533=21,K533,0)</f>
        <v>0</v>
      </c>
      <c r="AN533" s="11">
        <v>21</v>
      </c>
      <c r="AO533" s="11">
        <f>H533*0.0124696415975385</f>
        <v>0</v>
      </c>
      <c r="AP533" s="11">
        <f>H533*(1-0.0124696415975385)</f>
        <v>0</v>
      </c>
      <c r="AQ533" s="27" t="s">
        <v>138</v>
      </c>
      <c r="AV533" s="11">
        <f>AW533+AX533</f>
        <v>0</v>
      </c>
      <c r="AW533" s="11">
        <f>G533*AO533</f>
        <v>0</v>
      </c>
      <c r="AX533" s="11">
        <f>G533*AP533</f>
        <v>0</v>
      </c>
      <c r="AY533" s="29" t="s">
        <v>1088</v>
      </c>
      <c r="AZ533" s="29" t="s">
        <v>1122</v>
      </c>
      <c r="BA533" s="26" t="s">
        <v>1130</v>
      </c>
      <c r="BB533" s="26" t="s">
        <v>1145</v>
      </c>
      <c r="BC533" s="11">
        <f>AW533+AX533</f>
        <v>0</v>
      </c>
      <c r="BD533" s="11">
        <f>H533/(100-BE533)*100</f>
        <v>0</v>
      </c>
      <c r="BE533" s="11">
        <v>0</v>
      </c>
      <c r="BF533" s="11">
        <f>L533</f>
        <v>13521.677</v>
      </c>
      <c r="BH533" s="20">
        <f>G533*AO533</f>
        <v>0</v>
      </c>
      <c r="BI533" s="20">
        <f>G533*AP533</f>
        <v>0</v>
      </c>
      <c r="BJ533" s="20">
        <f>G533*H533</f>
        <v>0</v>
      </c>
      <c r="BK533" s="20" t="s">
        <v>1164</v>
      </c>
      <c r="BL533" s="11">
        <v>95</v>
      </c>
    </row>
    <row r="534" spans="1:64" x14ac:dyDescent="0.2">
      <c r="A534" s="35"/>
      <c r="B534" s="86" t="s">
        <v>354</v>
      </c>
      <c r="C534" s="196" t="s">
        <v>781</v>
      </c>
      <c r="D534" s="197"/>
      <c r="E534" s="197"/>
      <c r="F534" s="197"/>
      <c r="G534" s="197"/>
      <c r="H534" s="197"/>
      <c r="I534" s="197"/>
      <c r="J534" s="197"/>
      <c r="K534" s="197"/>
      <c r="L534" s="197"/>
      <c r="M534" s="197"/>
      <c r="N534" s="32"/>
    </row>
    <row r="535" spans="1:64" x14ac:dyDescent="0.2">
      <c r="A535" s="35"/>
      <c r="B535" s="36"/>
      <c r="C535" s="81" t="s">
        <v>803</v>
      </c>
      <c r="D535" s="36"/>
      <c r="E535" s="82" t="s">
        <v>926</v>
      </c>
      <c r="F535" s="36"/>
      <c r="G535" s="83">
        <v>25.369</v>
      </c>
      <c r="H535" s="36"/>
      <c r="I535" s="36"/>
      <c r="J535" s="36"/>
      <c r="K535" s="36"/>
      <c r="L535" s="36"/>
      <c r="M535" s="35"/>
      <c r="N535" s="32"/>
    </row>
    <row r="536" spans="1:64" x14ac:dyDescent="0.2">
      <c r="A536" s="77"/>
      <c r="B536" s="76" t="s">
        <v>99</v>
      </c>
      <c r="C536" s="204" t="s">
        <v>125</v>
      </c>
      <c r="D536" s="205"/>
      <c r="E536" s="205"/>
      <c r="F536" s="77" t="s">
        <v>60</v>
      </c>
      <c r="G536" s="77" t="s">
        <v>60</v>
      </c>
      <c r="H536" s="77" t="s">
        <v>60</v>
      </c>
      <c r="I536" s="78">
        <f>SUM(I537:I537)</f>
        <v>0</v>
      </c>
      <c r="J536" s="78">
        <f>SUM(J537:J537)</f>
        <v>0</v>
      </c>
      <c r="K536" s="78">
        <f>SUM(K537:K537)</f>
        <v>0</v>
      </c>
      <c r="L536" s="78">
        <f>SUM(L537:L537)</f>
        <v>537</v>
      </c>
      <c r="M536" s="93"/>
      <c r="N536" s="32"/>
      <c r="AI536" s="26" t="s">
        <v>78</v>
      </c>
      <c r="AS536" s="31">
        <f>SUM(AJ537:AJ537)</f>
        <v>0</v>
      </c>
      <c r="AT536" s="31">
        <f>SUM(AK537:AK537)</f>
        <v>0</v>
      </c>
      <c r="AU536" s="31">
        <f>SUM(AL537:AL537)</f>
        <v>0</v>
      </c>
    </row>
    <row r="537" spans="1:64" x14ac:dyDescent="0.2">
      <c r="A537" s="79" t="s">
        <v>304</v>
      </c>
      <c r="B537" s="79" t="s">
        <v>431</v>
      </c>
      <c r="C537" s="194" t="s">
        <v>715</v>
      </c>
      <c r="D537" s="195"/>
      <c r="E537" s="195"/>
      <c r="F537" s="79" t="s">
        <v>1052</v>
      </c>
      <c r="G537" s="80">
        <v>1</v>
      </c>
      <c r="H537" s="80">
        <v>0</v>
      </c>
      <c r="I537" s="80">
        <f>G537*AO537</f>
        <v>0</v>
      </c>
      <c r="J537" s="80">
        <f>G537*AP537</f>
        <v>0</v>
      </c>
      <c r="K537" s="80">
        <f>G537*H537</f>
        <v>0</v>
      </c>
      <c r="L537" s="80">
        <f>G537*537</f>
        <v>537</v>
      </c>
      <c r="M537" s="94" t="s">
        <v>1067</v>
      </c>
      <c r="N537" s="32"/>
      <c r="Z537" s="11">
        <f>IF(AQ537="5",BJ537,0)</f>
        <v>0</v>
      </c>
      <c r="AB537" s="11">
        <f>IF(AQ537="1",BH537,0)</f>
        <v>0</v>
      </c>
      <c r="AC537" s="11">
        <f>IF(AQ537="1",BI537,0)</f>
        <v>0</v>
      </c>
      <c r="AD537" s="11">
        <f>IF(AQ537="7",BH537,0)</f>
        <v>0</v>
      </c>
      <c r="AE537" s="11">
        <f>IF(AQ537="7",BI537,0)</f>
        <v>0</v>
      </c>
      <c r="AF537" s="11">
        <f>IF(AQ537="2",BH537,0)</f>
        <v>0</v>
      </c>
      <c r="AG537" s="11">
        <f>IF(AQ537="2",BI537,0)</f>
        <v>0</v>
      </c>
      <c r="AH537" s="11">
        <f>IF(AQ537="0",BJ537,0)</f>
        <v>0</v>
      </c>
      <c r="AI537" s="26" t="s">
        <v>78</v>
      </c>
      <c r="AJ537" s="20">
        <f>IF(AN537=0,K537,0)</f>
        <v>0</v>
      </c>
      <c r="AK537" s="20">
        <f>IF(AN537=15,K537,0)</f>
        <v>0</v>
      </c>
      <c r="AL537" s="20">
        <f>IF(AN537=21,K537,0)</f>
        <v>0</v>
      </c>
      <c r="AN537" s="11">
        <v>21</v>
      </c>
      <c r="AO537" s="11">
        <f>H537*0</f>
        <v>0</v>
      </c>
      <c r="AP537" s="11">
        <f>H537*(1-0)</f>
        <v>0</v>
      </c>
      <c r="AQ537" s="27" t="s">
        <v>138</v>
      </c>
      <c r="AV537" s="11">
        <f>AW537+AX537</f>
        <v>0</v>
      </c>
      <c r="AW537" s="11">
        <f>G537*AO537</f>
        <v>0</v>
      </c>
      <c r="AX537" s="11">
        <f>G537*AP537</f>
        <v>0</v>
      </c>
      <c r="AY537" s="29" t="s">
        <v>1092</v>
      </c>
      <c r="AZ537" s="29" t="s">
        <v>1123</v>
      </c>
      <c r="BA537" s="26" t="s">
        <v>1130</v>
      </c>
      <c r="BB537" s="26" t="s">
        <v>1149</v>
      </c>
      <c r="BC537" s="11">
        <f>AW537+AX537</f>
        <v>0</v>
      </c>
      <c r="BD537" s="11">
        <f>H537/(100-BE537)*100</f>
        <v>0</v>
      </c>
      <c r="BE537" s="11">
        <v>0</v>
      </c>
      <c r="BF537" s="11">
        <f>L537</f>
        <v>537</v>
      </c>
      <c r="BH537" s="20">
        <f>G537*AO537</f>
        <v>0</v>
      </c>
      <c r="BI537" s="20">
        <f>G537*AP537</f>
        <v>0</v>
      </c>
      <c r="BJ537" s="20">
        <f>G537*H537</f>
        <v>0</v>
      </c>
      <c r="BK537" s="20" t="s">
        <v>1164</v>
      </c>
      <c r="BL537" s="11" t="s">
        <v>99</v>
      </c>
    </row>
    <row r="538" spans="1:64" x14ac:dyDescent="0.2">
      <c r="A538" s="88"/>
      <c r="B538" s="87"/>
      <c r="C538" s="202" t="s">
        <v>65</v>
      </c>
      <c r="D538" s="203"/>
      <c r="E538" s="203"/>
      <c r="F538" s="88" t="s">
        <v>60</v>
      </c>
      <c r="G538" s="88" t="s">
        <v>60</v>
      </c>
      <c r="H538" s="88" t="s">
        <v>60</v>
      </c>
      <c r="I538" s="89">
        <f>I539+I556+I565+I573+I598+I604+I607</f>
        <v>0</v>
      </c>
      <c r="J538" s="89">
        <f>J539+J556+J565+J573+J598+J604+J607</f>
        <v>0</v>
      </c>
      <c r="K538" s="89">
        <f>K539+K556+K565+K573+K598+K604+K607</f>
        <v>0</v>
      </c>
      <c r="L538" s="89">
        <f>L539+L556+L565+L573+L598+L604+L607</f>
        <v>191544.44</v>
      </c>
      <c r="M538" s="96"/>
      <c r="N538" s="32"/>
    </row>
    <row r="539" spans="1:64" x14ac:dyDescent="0.2">
      <c r="A539" s="77"/>
      <c r="B539" s="76" t="s">
        <v>103</v>
      </c>
      <c r="C539" s="204" t="s">
        <v>128</v>
      </c>
      <c r="D539" s="205"/>
      <c r="E539" s="205"/>
      <c r="F539" s="77" t="s">
        <v>60</v>
      </c>
      <c r="G539" s="77" t="s">
        <v>60</v>
      </c>
      <c r="H539" s="77" t="s">
        <v>60</v>
      </c>
      <c r="I539" s="78">
        <f>SUM(I540:I554)</f>
        <v>0</v>
      </c>
      <c r="J539" s="78">
        <f>SUM(J540:J554)</f>
        <v>0</v>
      </c>
      <c r="K539" s="78">
        <f>SUM(K540:K554)</f>
        <v>0</v>
      </c>
      <c r="L539" s="78">
        <f>SUM(L540:L554)</f>
        <v>14167</v>
      </c>
      <c r="M539" s="93"/>
      <c r="N539" s="32"/>
      <c r="AI539" s="26" t="s">
        <v>79</v>
      </c>
      <c r="AS539" s="31">
        <f>SUM(AJ540:AJ554)</f>
        <v>0</v>
      </c>
      <c r="AT539" s="31">
        <f>SUM(AK540:AK554)</f>
        <v>0</v>
      </c>
      <c r="AU539" s="31">
        <f>SUM(AL540:AL554)</f>
        <v>0</v>
      </c>
    </row>
    <row r="540" spans="1:64" x14ac:dyDescent="0.2">
      <c r="A540" s="79" t="s">
        <v>305</v>
      </c>
      <c r="B540" s="79" t="s">
        <v>448</v>
      </c>
      <c r="C540" s="194" t="s">
        <v>835</v>
      </c>
      <c r="D540" s="195"/>
      <c r="E540" s="195"/>
      <c r="F540" s="79" t="s">
        <v>1047</v>
      </c>
      <c r="G540" s="80">
        <v>2</v>
      </c>
      <c r="H540" s="80">
        <v>0</v>
      </c>
      <c r="I540" s="80">
        <f>G540*AO540</f>
        <v>0</v>
      </c>
      <c r="J540" s="80">
        <f>G540*AP540</f>
        <v>0</v>
      </c>
      <c r="K540" s="80">
        <f>G540*H540</f>
        <v>0</v>
      </c>
      <c r="L540" s="80">
        <f>G540*540</f>
        <v>1080</v>
      </c>
      <c r="M540" s="94" t="s">
        <v>1066</v>
      </c>
      <c r="N540" s="32"/>
      <c r="Z540" s="11">
        <f>IF(AQ540="5",BJ540,0)</f>
        <v>0</v>
      </c>
      <c r="AB540" s="11">
        <f>IF(AQ540="1",BH540,0)</f>
        <v>0</v>
      </c>
      <c r="AC540" s="11">
        <f>IF(AQ540="1",BI540,0)</f>
        <v>0</v>
      </c>
      <c r="AD540" s="11">
        <f>IF(AQ540="7",BH540,0)</f>
        <v>0</v>
      </c>
      <c r="AE540" s="11">
        <f>IF(AQ540="7",BI540,0)</f>
        <v>0</v>
      </c>
      <c r="AF540" s="11">
        <f>IF(AQ540="2",BH540,0)</f>
        <v>0</v>
      </c>
      <c r="AG540" s="11">
        <f>IF(AQ540="2",BI540,0)</f>
        <v>0</v>
      </c>
      <c r="AH540" s="11">
        <f>IF(AQ540="0",BJ540,0)</f>
        <v>0</v>
      </c>
      <c r="AI540" s="26" t="s">
        <v>79</v>
      </c>
      <c r="AJ540" s="20">
        <f>IF(AN540=0,K540,0)</f>
        <v>0</v>
      </c>
      <c r="AK540" s="20">
        <f>IF(AN540=15,K540,0)</f>
        <v>0</v>
      </c>
      <c r="AL540" s="20">
        <f>IF(AN540=21,K540,0)</f>
        <v>0</v>
      </c>
      <c r="AN540" s="11">
        <v>21</v>
      </c>
      <c r="AO540" s="11">
        <f>H540*0</f>
        <v>0</v>
      </c>
      <c r="AP540" s="11">
        <f>H540*(1-0)</f>
        <v>0</v>
      </c>
      <c r="AQ540" s="27" t="s">
        <v>144</v>
      </c>
      <c r="AV540" s="11">
        <f>AW540+AX540</f>
        <v>0</v>
      </c>
      <c r="AW540" s="11">
        <f>G540*AO540</f>
        <v>0</v>
      </c>
      <c r="AX540" s="11">
        <f>G540*AP540</f>
        <v>0</v>
      </c>
      <c r="AY540" s="29" t="s">
        <v>1096</v>
      </c>
      <c r="AZ540" s="29" t="s">
        <v>1124</v>
      </c>
      <c r="BA540" s="26" t="s">
        <v>1131</v>
      </c>
      <c r="BB540" s="26" t="s">
        <v>1153</v>
      </c>
      <c r="BC540" s="11">
        <f>AW540+AX540</f>
        <v>0</v>
      </c>
      <c r="BD540" s="11">
        <f>H540/(100-BE540)*100</f>
        <v>0</v>
      </c>
      <c r="BE540" s="11">
        <v>0</v>
      </c>
      <c r="BF540" s="11">
        <f>L540</f>
        <v>1080</v>
      </c>
      <c r="BH540" s="20">
        <f>G540*AO540</f>
        <v>0</v>
      </c>
      <c r="BI540" s="20">
        <f>G540*AP540</f>
        <v>0</v>
      </c>
      <c r="BJ540" s="20">
        <f>G540*H540</f>
        <v>0</v>
      </c>
      <c r="BK540" s="20" t="s">
        <v>1164</v>
      </c>
      <c r="BL540" s="11">
        <v>721</v>
      </c>
    </row>
    <row r="541" spans="1:64" x14ac:dyDescent="0.2">
      <c r="A541" s="35"/>
      <c r="B541" s="36"/>
      <c r="C541" s="81" t="s">
        <v>138</v>
      </c>
      <c r="D541" s="36"/>
      <c r="E541" s="82" t="s">
        <v>1021</v>
      </c>
      <c r="F541" s="36"/>
      <c r="G541" s="83">
        <v>1</v>
      </c>
      <c r="H541" s="36"/>
      <c r="I541" s="36"/>
      <c r="J541" s="36"/>
      <c r="K541" s="36"/>
      <c r="L541" s="36"/>
      <c r="M541" s="35"/>
      <c r="N541" s="32"/>
    </row>
    <row r="542" spans="1:64" x14ac:dyDescent="0.2">
      <c r="A542" s="35"/>
      <c r="B542" s="36"/>
      <c r="C542" s="81" t="s">
        <v>138</v>
      </c>
      <c r="D542" s="36"/>
      <c r="E542" s="82" t="s">
        <v>1022</v>
      </c>
      <c r="F542" s="36"/>
      <c r="G542" s="83">
        <v>1</v>
      </c>
      <c r="H542" s="36"/>
      <c r="I542" s="36"/>
      <c r="J542" s="36"/>
      <c r="K542" s="36"/>
      <c r="L542" s="36"/>
      <c r="M542" s="35"/>
      <c r="N542" s="32"/>
    </row>
    <row r="543" spans="1:64" x14ac:dyDescent="0.2">
      <c r="A543" s="79" t="s">
        <v>306</v>
      </c>
      <c r="B543" s="79" t="s">
        <v>449</v>
      </c>
      <c r="C543" s="194" t="s">
        <v>836</v>
      </c>
      <c r="D543" s="195"/>
      <c r="E543" s="195"/>
      <c r="F543" s="79" t="s">
        <v>1051</v>
      </c>
      <c r="G543" s="80">
        <v>15</v>
      </c>
      <c r="H543" s="80">
        <v>0</v>
      </c>
      <c r="I543" s="80">
        <f>G543*AO543</f>
        <v>0</v>
      </c>
      <c r="J543" s="80">
        <f>G543*AP543</f>
        <v>0</v>
      </c>
      <c r="K543" s="80">
        <f>G543*H543</f>
        <v>0</v>
      </c>
      <c r="L543" s="80">
        <f>G543*543</f>
        <v>8145</v>
      </c>
      <c r="M543" s="94" t="s">
        <v>1066</v>
      </c>
      <c r="N543" s="32"/>
      <c r="Z543" s="11">
        <f>IF(AQ543="5",BJ543,0)</f>
        <v>0</v>
      </c>
      <c r="AB543" s="11">
        <f>IF(AQ543="1",BH543,0)</f>
        <v>0</v>
      </c>
      <c r="AC543" s="11">
        <f>IF(AQ543="1",BI543,0)</f>
        <v>0</v>
      </c>
      <c r="AD543" s="11">
        <f>IF(AQ543="7",BH543,0)</f>
        <v>0</v>
      </c>
      <c r="AE543" s="11">
        <f>IF(AQ543="7",BI543,0)</f>
        <v>0</v>
      </c>
      <c r="AF543" s="11">
        <f>IF(AQ543="2",BH543,0)</f>
        <v>0</v>
      </c>
      <c r="AG543" s="11">
        <f>IF(AQ543="2",BI543,0)</f>
        <v>0</v>
      </c>
      <c r="AH543" s="11">
        <f>IF(AQ543="0",BJ543,0)</f>
        <v>0</v>
      </c>
      <c r="AI543" s="26" t="s">
        <v>79</v>
      </c>
      <c r="AJ543" s="20">
        <f>IF(AN543=0,K543,0)</f>
        <v>0</v>
      </c>
      <c r="AK543" s="20">
        <f>IF(AN543=15,K543,0)</f>
        <v>0</v>
      </c>
      <c r="AL543" s="20">
        <f>IF(AN543=21,K543,0)</f>
        <v>0</v>
      </c>
      <c r="AN543" s="11">
        <v>21</v>
      </c>
      <c r="AO543" s="11">
        <f>H543*0</f>
        <v>0</v>
      </c>
      <c r="AP543" s="11">
        <f>H543*(1-0)</f>
        <v>0</v>
      </c>
      <c r="AQ543" s="27" t="s">
        <v>144</v>
      </c>
      <c r="AV543" s="11">
        <f>AW543+AX543</f>
        <v>0</v>
      </c>
      <c r="AW543" s="11">
        <f>G543*AO543</f>
        <v>0</v>
      </c>
      <c r="AX543" s="11">
        <f>G543*AP543</f>
        <v>0</v>
      </c>
      <c r="AY543" s="29" t="s">
        <v>1096</v>
      </c>
      <c r="AZ543" s="29" t="s">
        <v>1124</v>
      </c>
      <c r="BA543" s="26" t="s">
        <v>1131</v>
      </c>
      <c r="BB543" s="26" t="s">
        <v>1153</v>
      </c>
      <c r="BC543" s="11">
        <f>AW543+AX543</f>
        <v>0</v>
      </c>
      <c r="BD543" s="11">
        <f>H543/(100-BE543)*100</f>
        <v>0</v>
      </c>
      <c r="BE543" s="11">
        <v>0</v>
      </c>
      <c r="BF543" s="11">
        <f>L543</f>
        <v>8145</v>
      </c>
      <c r="BH543" s="20">
        <f>G543*AO543</f>
        <v>0</v>
      </c>
      <c r="BI543" s="20">
        <f>G543*AP543</f>
        <v>0</v>
      </c>
      <c r="BJ543" s="20">
        <f>G543*H543</f>
        <v>0</v>
      </c>
      <c r="BK543" s="20" t="s">
        <v>1164</v>
      </c>
      <c r="BL543" s="11">
        <v>721</v>
      </c>
    </row>
    <row r="544" spans="1:64" x14ac:dyDescent="0.2">
      <c r="A544" s="35"/>
      <c r="B544" s="36"/>
      <c r="C544" s="81" t="s">
        <v>837</v>
      </c>
      <c r="D544" s="36"/>
      <c r="E544" s="82" t="s">
        <v>1023</v>
      </c>
      <c r="F544" s="36"/>
      <c r="G544" s="83">
        <v>15</v>
      </c>
      <c r="H544" s="36"/>
      <c r="I544" s="36"/>
      <c r="J544" s="36"/>
      <c r="K544" s="36"/>
      <c r="L544" s="36"/>
      <c r="M544" s="35"/>
      <c r="N544" s="32"/>
    </row>
    <row r="545" spans="1:64" x14ac:dyDescent="0.2">
      <c r="A545" s="79" t="s">
        <v>307</v>
      </c>
      <c r="B545" s="79" t="s">
        <v>450</v>
      </c>
      <c r="C545" s="194" t="s">
        <v>838</v>
      </c>
      <c r="D545" s="195"/>
      <c r="E545" s="195"/>
      <c r="F545" s="79" t="s">
        <v>1051</v>
      </c>
      <c r="G545" s="80">
        <v>1</v>
      </c>
      <c r="H545" s="80">
        <v>0</v>
      </c>
      <c r="I545" s="80">
        <f>G545*AO545</f>
        <v>0</v>
      </c>
      <c r="J545" s="80">
        <f>G545*AP545</f>
        <v>0</v>
      </c>
      <c r="K545" s="80">
        <f>G545*H545</f>
        <v>0</v>
      </c>
      <c r="L545" s="80">
        <f>G545*545</f>
        <v>545</v>
      </c>
      <c r="M545" s="94" t="s">
        <v>1066</v>
      </c>
      <c r="N545" s="32"/>
      <c r="Z545" s="11">
        <f>IF(AQ545="5",BJ545,0)</f>
        <v>0</v>
      </c>
      <c r="AB545" s="11">
        <f>IF(AQ545="1",BH545,0)</f>
        <v>0</v>
      </c>
      <c r="AC545" s="11">
        <f>IF(AQ545="1",BI545,0)</f>
        <v>0</v>
      </c>
      <c r="AD545" s="11">
        <f>IF(AQ545="7",BH545,0)</f>
        <v>0</v>
      </c>
      <c r="AE545" s="11">
        <f>IF(AQ545="7",BI545,0)</f>
        <v>0</v>
      </c>
      <c r="AF545" s="11">
        <f>IF(AQ545="2",BH545,0)</f>
        <v>0</v>
      </c>
      <c r="AG545" s="11">
        <f>IF(AQ545="2",BI545,0)</f>
        <v>0</v>
      </c>
      <c r="AH545" s="11">
        <f>IF(AQ545="0",BJ545,0)</f>
        <v>0</v>
      </c>
      <c r="AI545" s="26" t="s">
        <v>79</v>
      </c>
      <c r="AJ545" s="20">
        <f>IF(AN545=0,K545,0)</f>
        <v>0</v>
      </c>
      <c r="AK545" s="20">
        <f>IF(AN545=15,K545,0)</f>
        <v>0</v>
      </c>
      <c r="AL545" s="20">
        <f>IF(AN545=21,K545,0)</f>
        <v>0</v>
      </c>
      <c r="AN545" s="11">
        <v>21</v>
      </c>
      <c r="AO545" s="11">
        <f>H545*0</f>
        <v>0</v>
      </c>
      <c r="AP545" s="11">
        <f>H545*(1-0)</f>
        <v>0</v>
      </c>
      <c r="AQ545" s="27" t="s">
        <v>144</v>
      </c>
      <c r="AV545" s="11">
        <f>AW545+AX545</f>
        <v>0</v>
      </c>
      <c r="AW545" s="11">
        <f>G545*AO545</f>
        <v>0</v>
      </c>
      <c r="AX545" s="11">
        <f>G545*AP545</f>
        <v>0</v>
      </c>
      <c r="AY545" s="29" t="s">
        <v>1096</v>
      </c>
      <c r="AZ545" s="29" t="s">
        <v>1124</v>
      </c>
      <c r="BA545" s="26" t="s">
        <v>1131</v>
      </c>
      <c r="BB545" s="26" t="s">
        <v>1153</v>
      </c>
      <c r="BC545" s="11">
        <f>AW545+AX545</f>
        <v>0</v>
      </c>
      <c r="BD545" s="11">
        <f>H545/(100-BE545)*100</f>
        <v>0</v>
      </c>
      <c r="BE545" s="11">
        <v>0</v>
      </c>
      <c r="BF545" s="11">
        <f>L545</f>
        <v>545</v>
      </c>
      <c r="BH545" s="20">
        <f>G545*AO545</f>
        <v>0</v>
      </c>
      <c r="BI545" s="20">
        <f>G545*AP545</f>
        <v>0</v>
      </c>
      <c r="BJ545" s="20">
        <f>G545*H545</f>
        <v>0</v>
      </c>
      <c r="BK545" s="20" t="s">
        <v>1164</v>
      </c>
      <c r="BL545" s="11">
        <v>721</v>
      </c>
    </row>
    <row r="546" spans="1:64" x14ac:dyDescent="0.2">
      <c r="A546" s="35"/>
      <c r="B546" s="36"/>
      <c r="C546" s="81" t="s">
        <v>138</v>
      </c>
      <c r="D546" s="36"/>
      <c r="E546" s="82" t="s">
        <v>1024</v>
      </c>
      <c r="F546" s="36"/>
      <c r="G546" s="83">
        <v>1</v>
      </c>
      <c r="H546" s="36"/>
      <c r="I546" s="36"/>
      <c r="J546" s="36"/>
      <c r="K546" s="36"/>
      <c r="L546" s="36"/>
      <c r="M546" s="35"/>
      <c r="N546" s="32"/>
    </row>
    <row r="547" spans="1:64" x14ac:dyDescent="0.2">
      <c r="A547" s="79" t="s">
        <v>308</v>
      </c>
      <c r="B547" s="79" t="s">
        <v>451</v>
      </c>
      <c r="C547" s="194" t="s">
        <v>839</v>
      </c>
      <c r="D547" s="195"/>
      <c r="E547" s="195"/>
      <c r="F547" s="79" t="s">
        <v>1051</v>
      </c>
      <c r="G547" s="80">
        <v>3</v>
      </c>
      <c r="H547" s="80">
        <v>0</v>
      </c>
      <c r="I547" s="80">
        <f>G547*AO547</f>
        <v>0</v>
      </c>
      <c r="J547" s="80">
        <f>G547*AP547</f>
        <v>0</v>
      </c>
      <c r="K547" s="80">
        <f>G547*H547</f>
        <v>0</v>
      </c>
      <c r="L547" s="80">
        <f>G547*547</f>
        <v>1641</v>
      </c>
      <c r="M547" s="94" t="s">
        <v>1066</v>
      </c>
      <c r="N547" s="32"/>
      <c r="Z547" s="11">
        <f>IF(AQ547="5",BJ547,0)</f>
        <v>0</v>
      </c>
      <c r="AB547" s="11">
        <f>IF(AQ547="1",BH547,0)</f>
        <v>0</v>
      </c>
      <c r="AC547" s="11">
        <f>IF(AQ547="1",BI547,0)</f>
        <v>0</v>
      </c>
      <c r="AD547" s="11">
        <f>IF(AQ547="7",BH547,0)</f>
        <v>0</v>
      </c>
      <c r="AE547" s="11">
        <f>IF(AQ547="7",BI547,0)</f>
        <v>0</v>
      </c>
      <c r="AF547" s="11">
        <f>IF(AQ547="2",BH547,0)</f>
        <v>0</v>
      </c>
      <c r="AG547" s="11">
        <f>IF(AQ547="2",BI547,0)</f>
        <v>0</v>
      </c>
      <c r="AH547" s="11">
        <f>IF(AQ547="0",BJ547,0)</f>
        <v>0</v>
      </c>
      <c r="AI547" s="26" t="s">
        <v>79</v>
      </c>
      <c r="AJ547" s="20">
        <f>IF(AN547=0,K547,0)</f>
        <v>0</v>
      </c>
      <c r="AK547" s="20">
        <f>IF(AN547=15,K547,0)</f>
        <v>0</v>
      </c>
      <c r="AL547" s="20">
        <f>IF(AN547=21,K547,0)</f>
        <v>0</v>
      </c>
      <c r="AN547" s="11">
        <v>21</v>
      </c>
      <c r="AO547" s="11">
        <f>H547*0.351362007168459</f>
        <v>0</v>
      </c>
      <c r="AP547" s="11">
        <f>H547*(1-0.351362007168459)</f>
        <v>0</v>
      </c>
      <c r="AQ547" s="27" t="s">
        <v>144</v>
      </c>
      <c r="AV547" s="11">
        <f>AW547+AX547</f>
        <v>0</v>
      </c>
      <c r="AW547" s="11">
        <f>G547*AO547</f>
        <v>0</v>
      </c>
      <c r="AX547" s="11">
        <f>G547*AP547</f>
        <v>0</v>
      </c>
      <c r="AY547" s="29" t="s">
        <v>1096</v>
      </c>
      <c r="AZ547" s="29" t="s">
        <v>1124</v>
      </c>
      <c r="BA547" s="26" t="s">
        <v>1131</v>
      </c>
      <c r="BB547" s="26" t="s">
        <v>1153</v>
      </c>
      <c r="BC547" s="11">
        <f>AW547+AX547</f>
        <v>0</v>
      </c>
      <c r="BD547" s="11">
        <f>H547/(100-BE547)*100</f>
        <v>0</v>
      </c>
      <c r="BE547" s="11">
        <v>0</v>
      </c>
      <c r="BF547" s="11">
        <f>L547</f>
        <v>1641</v>
      </c>
      <c r="BH547" s="20">
        <f>G547*AO547</f>
        <v>0</v>
      </c>
      <c r="BI547" s="20">
        <f>G547*AP547</f>
        <v>0</v>
      </c>
      <c r="BJ547" s="20">
        <f>G547*H547</f>
        <v>0</v>
      </c>
      <c r="BK547" s="20" t="s">
        <v>1164</v>
      </c>
      <c r="BL547" s="11">
        <v>721</v>
      </c>
    </row>
    <row r="548" spans="1:64" x14ac:dyDescent="0.2">
      <c r="A548" s="35"/>
      <c r="B548" s="36"/>
      <c r="C548" s="81" t="s">
        <v>140</v>
      </c>
      <c r="D548" s="36"/>
      <c r="E548" s="82" t="s">
        <v>1025</v>
      </c>
      <c r="F548" s="36"/>
      <c r="G548" s="83">
        <v>3</v>
      </c>
      <c r="H548" s="36"/>
      <c r="I548" s="36"/>
      <c r="J548" s="36"/>
      <c r="K548" s="36"/>
      <c r="L548" s="36"/>
      <c r="M548" s="35"/>
      <c r="N548" s="32"/>
    </row>
    <row r="549" spans="1:64" x14ac:dyDescent="0.2">
      <c r="A549" s="79" t="s">
        <v>309</v>
      </c>
      <c r="B549" s="79" t="s">
        <v>452</v>
      </c>
      <c r="C549" s="194" t="s">
        <v>840</v>
      </c>
      <c r="D549" s="195"/>
      <c r="E549" s="195"/>
      <c r="F549" s="79" t="s">
        <v>1047</v>
      </c>
      <c r="G549" s="80">
        <v>2</v>
      </c>
      <c r="H549" s="80">
        <v>0</v>
      </c>
      <c r="I549" s="80">
        <f>G549*AO549</f>
        <v>0</v>
      </c>
      <c r="J549" s="80">
        <f>G549*AP549</f>
        <v>0</v>
      </c>
      <c r="K549" s="80">
        <f>G549*H549</f>
        <v>0</v>
      </c>
      <c r="L549" s="80">
        <f>G549*549</f>
        <v>1098</v>
      </c>
      <c r="M549" s="94" t="s">
        <v>1066</v>
      </c>
      <c r="N549" s="32"/>
      <c r="Z549" s="11">
        <f>IF(AQ549="5",BJ549,0)</f>
        <v>0</v>
      </c>
      <c r="AB549" s="11">
        <f>IF(AQ549="1",BH549,0)</f>
        <v>0</v>
      </c>
      <c r="AC549" s="11">
        <f>IF(AQ549="1",BI549,0)</f>
        <v>0</v>
      </c>
      <c r="AD549" s="11">
        <f>IF(AQ549="7",BH549,0)</f>
        <v>0</v>
      </c>
      <c r="AE549" s="11">
        <f>IF(AQ549="7",BI549,0)</f>
        <v>0</v>
      </c>
      <c r="AF549" s="11">
        <f>IF(AQ549="2",BH549,0)</f>
        <v>0</v>
      </c>
      <c r="AG549" s="11">
        <f>IF(AQ549="2",BI549,0)</f>
        <v>0</v>
      </c>
      <c r="AH549" s="11">
        <f>IF(AQ549="0",BJ549,0)</f>
        <v>0</v>
      </c>
      <c r="AI549" s="26" t="s">
        <v>79</v>
      </c>
      <c r="AJ549" s="20">
        <f>IF(AN549=0,K549,0)</f>
        <v>0</v>
      </c>
      <c r="AK549" s="20">
        <f>IF(AN549=15,K549,0)</f>
        <v>0</v>
      </c>
      <c r="AL549" s="20">
        <f>IF(AN549=21,K549,0)</f>
        <v>0</v>
      </c>
      <c r="AN549" s="11">
        <v>21</v>
      </c>
      <c r="AO549" s="11">
        <f>H549*0.262900158478605</f>
        <v>0</v>
      </c>
      <c r="AP549" s="11">
        <f>H549*(1-0.262900158478605)</f>
        <v>0</v>
      </c>
      <c r="AQ549" s="27" t="s">
        <v>144</v>
      </c>
      <c r="AV549" s="11">
        <f>AW549+AX549</f>
        <v>0</v>
      </c>
      <c r="AW549" s="11">
        <f>G549*AO549</f>
        <v>0</v>
      </c>
      <c r="AX549" s="11">
        <f>G549*AP549</f>
        <v>0</v>
      </c>
      <c r="AY549" s="29" t="s">
        <v>1096</v>
      </c>
      <c r="AZ549" s="29" t="s">
        <v>1124</v>
      </c>
      <c r="BA549" s="26" t="s">
        <v>1131</v>
      </c>
      <c r="BB549" s="26" t="s">
        <v>1153</v>
      </c>
      <c r="BC549" s="11">
        <f>AW549+AX549</f>
        <v>0</v>
      </c>
      <c r="BD549" s="11">
        <f>H549/(100-BE549)*100</f>
        <v>0</v>
      </c>
      <c r="BE549" s="11">
        <v>0</v>
      </c>
      <c r="BF549" s="11">
        <f>L549</f>
        <v>1098</v>
      </c>
      <c r="BH549" s="20">
        <f>G549*AO549</f>
        <v>0</v>
      </c>
      <c r="BI549" s="20">
        <f>G549*AP549</f>
        <v>0</v>
      </c>
      <c r="BJ549" s="20">
        <f>G549*H549</f>
        <v>0</v>
      </c>
      <c r="BK549" s="20" t="s">
        <v>1164</v>
      </c>
      <c r="BL549" s="11">
        <v>721</v>
      </c>
    </row>
    <row r="550" spans="1:64" x14ac:dyDescent="0.2">
      <c r="A550" s="35"/>
      <c r="B550" s="36"/>
      <c r="C550" s="81" t="s">
        <v>138</v>
      </c>
      <c r="D550" s="36"/>
      <c r="E550" s="82" t="s">
        <v>1026</v>
      </c>
      <c r="F550" s="36"/>
      <c r="G550" s="83">
        <v>1</v>
      </c>
      <c r="H550" s="36"/>
      <c r="I550" s="36"/>
      <c r="J550" s="36"/>
      <c r="K550" s="36"/>
      <c r="L550" s="36"/>
      <c r="M550" s="35"/>
      <c r="N550" s="32"/>
    </row>
    <row r="551" spans="1:64" x14ac:dyDescent="0.2">
      <c r="A551" s="35"/>
      <c r="B551" s="36"/>
      <c r="C551" s="81" t="s">
        <v>138</v>
      </c>
      <c r="D551" s="36"/>
      <c r="E551" s="82" t="s">
        <v>1027</v>
      </c>
      <c r="F551" s="36"/>
      <c r="G551" s="83">
        <v>1</v>
      </c>
      <c r="H551" s="36"/>
      <c r="I551" s="36"/>
      <c r="J551" s="36"/>
      <c r="K551" s="36"/>
      <c r="L551" s="36"/>
      <c r="M551" s="35"/>
      <c r="N551" s="32"/>
    </row>
    <row r="552" spans="1:64" x14ac:dyDescent="0.2">
      <c r="A552" s="79" t="s">
        <v>310</v>
      </c>
      <c r="B552" s="79" t="s">
        <v>453</v>
      </c>
      <c r="C552" s="194" t="s">
        <v>841</v>
      </c>
      <c r="D552" s="195"/>
      <c r="E552" s="195"/>
      <c r="F552" s="79" t="s">
        <v>1047</v>
      </c>
      <c r="G552" s="80">
        <v>2</v>
      </c>
      <c r="H552" s="80">
        <v>0</v>
      </c>
      <c r="I552" s="80">
        <f>G552*AO552</f>
        <v>0</v>
      </c>
      <c r="J552" s="80">
        <f>G552*AP552</f>
        <v>0</v>
      </c>
      <c r="K552" s="80">
        <f>G552*H552</f>
        <v>0</v>
      </c>
      <c r="L552" s="80">
        <f>G552*552</f>
        <v>1104</v>
      </c>
      <c r="M552" s="94" t="s">
        <v>1066</v>
      </c>
      <c r="N552" s="32"/>
      <c r="Z552" s="11">
        <f>IF(AQ552="5",BJ552,0)</f>
        <v>0</v>
      </c>
      <c r="AB552" s="11">
        <f>IF(AQ552="1",BH552,0)</f>
        <v>0</v>
      </c>
      <c r="AC552" s="11">
        <f>IF(AQ552="1",BI552,0)</f>
        <v>0</v>
      </c>
      <c r="AD552" s="11">
        <f>IF(AQ552="7",BH552,0)</f>
        <v>0</v>
      </c>
      <c r="AE552" s="11">
        <f>IF(AQ552="7",BI552,0)</f>
        <v>0</v>
      </c>
      <c r="AF552" s="11">
        <f>IF(AQ552="2",BH552,0)</f>
        <v>0</v>
      </c>
      <c r="AG552" s="11">
        <f>IF(AQ552="2",BI552,0)</f>
        <v>0</v>
      </c>
      <c r="AH552" s="11">
        <f>IF(AQ552="0",BJ552,0)</f>
        <v>0</v>
      </c>
      <c r="AI552" s="26" t="s">
        <v>79</v>
      </c>
      <c r="AJ552" s="20">
        <f>IF(AN552=0,K552,0)</f>
        <v>0</v>
      </c>
      <c r="AK552" s="20">
        <f>IF(AN552=15,K552,0)</f>
        <v>0</v>
      </c>
      <c r="AL552" s="20">
        <f>IF(AN552=21,K552,0)</f>
        <v>0</v>
      </c>
      <c r="AN552" s="11">
        <v>21</v>
      </c>
      <c r="AO552" s="11">
        <f>H552*0</f>
        <v>0</v>
      </c>
      <c r="AP552" s="11">
        <f>H552*(1-0)</f>
        <v>0</v>
      </c>
      <c r="AQ552" s="27" t="s">
        <v>144</v>
      </c>
      <c r="AV552" s="11">
        <f>AW552+AX552</f>
        <v>0</v>
      </c>
      <c r="AW552" s="11">
        <f>G552*AO552</f>
        <v>0</v>
      </c>
      <c r="AX552" s="11">
        <f>G552*AP552</f>
        <v>0</v>
      </c>
      <c r="AY552" s="29" t="s">
        <v>1096</v>
      </c>
      <c r="AZ552" s="29" t="s">
        <v>1124</v>
      </c>
      <c r="BA552" s="26" t="s">
        <v>1131</v>
      </c>
      <c r="BB552" s="26" t="s">
        <v>1153</v>
      </c>
      <c r="BC552" s="11">
        <f>AW552+AX552</f>
        <v>0</v>
      </c>
      <c r="BD552" s="11">
        <f>H552/(100-BE552)*100</f>
        <v>0</v>
      </c>
      <c r="BE552" s="11">
        <v>0</v>
      </c>
      <c r="BF552" s="11">
        <f>L552</f>
        <v>1104</v>
      </c>
      <c r="BH552" s="20">
        <f>G552*AO552</f>
        <v>0</v>
      </c>
      <c r="BI552" s="20">
        <f>G552*AP552</f>
        <v>0</v>
      </c>
      <c r="BJ552" s="20">
        <f>G552*H552</f>
        <v>0</v>
      </c>
      <c r="BK552" s="20" t="s">
        <v>1164</v>
      </c>
      <c r="BL552" s="11">
        <v>721</v>
      </c>
    </row>
    <row r="553" spans="1:64" x14ac:dyDescent="0.2">
      <c r="A553" s="35"/>
      <c r="B553" s="36"/>
      <c r="C553" s="81" t="s">
        <v>569</v>
      </c>
      <c r="D553" s="36"/>
      <c r="E553" s="82" t="s">
        <v>1028</v>
      </c>
      <c r="F553" s="36"/>
      <c r="G553" s="83">
        <v>2</v>
      </c>
      <c r="H553" s="36"/>
      <c r="I553" s="36"/>
      <c r="J553" s="36"/>
      <c r="K553" s="36"/>
      <c r="L553" s="36"/>
      <c r="M553" s="35"/>
      <c r="N553" s="32"/>
    </row>
    <row r="554" spans="1:64" x14ac:dyDescent="0.2">
      <c r="A554" s="79" t="s">
        <v>311</v>
      </c>
      <c r="B554" s="79" t="s">
        <v>454</v>
      </c>
      <c r="C554" s="194" t="s">
        <v>842</v>
      </c>
      <c r="D554" s="195"/>
      <c r="E554" s="195"/>
      <c r="F554" s="79" t="s">
        <v>1051</v>
      </c>
      <c r="G554" s="80">
        <v>1</v>
      </c>
      <c r="H554" s="80">
        <v>0</v>
      </c>
      <c r="I554" s="80">
        <f>G554*AO554</f>
        <v>0</v>
      </c>
      <c r="J554" s="80">
        <f>G554*AP554</f>
        <v>0</v>
      </c>
      <c r="K554" s="80">
        <f>G554*H554</f>
        <v>0</v>
      </c>
      <c r="L554" s="80">
        <f>G554*554</f>
        <v>554</v>
      </c>
      <c r="M554" s="94" t="s">
        <v>1066</v>
      </c>
      <c r="N554" s="32"/>
      <c r="Z554" s="11">
        <f>IF(AQ554="5",BJ554,0)</f>
        <v>0</v>
      </c>
      <c r="AB554" s="11">
        <f>IF(AQ554="1",BH554,0)</f>
        <v>0</v>
      </c>
      <c r="AC554" s="11">
        <f>IF(AQ554="1",BI554,0)</f>
        <v>0</v>
      </c>
      <c r="AD554" s="11">
        <f>IF(AQ554="7",BH554,0)</f>
        <v>0</v>
      </c>
      <c r="AE554" s="11">
        <f>IF(AQ554="7",BI554,0)</f>
        <v>0</v>
      </c>
      <c r="AF554" s="11">
        <f>IF(AQ554="2",BH554,0)</f>
        <v>0</v>
      </c>
      <c r="AG554" s="11">
        <f>IF(AQ554="2",BI554,0)</f>
        <v>0</v>
      </c>
      <c r="AH554" s="11">
        <f>IF(AQ554="0",BJ554,0)</f>
        <v>0</v>
      </c>
      <c r="AI554" s="26" t="s">
        <v>79</v>
      </c>
      <c r="AJ554" s="20">
        <f>IF(AN554=0,K554,0)</f>
        <v>0</v>
      </c>
      <c r="AK554" s="20">
        <f>IF(AN554=15,K554,0)</f>
        <v>0</v>
      </c>
      <c r="AL554" s="20">
        <f>IF(AN554=21,K554,0)</f>
        <v>0</v>
      </c>
      <c r="AN554" s="11">
        <v>21</v>
      </c>
      <c r="AO554" s="11">
        <f>H554*0.324228571428571</f>
        <v>0</v>
      </c>
      <c r="AP554" s="11">
        <f>H554*(1-0.324228571428571)</f>
        <v>0</v>
      </c>
      <c r="AQ554" s="27" t="s">
        <v>144</v>
      </c>
      <c r="AV554" s="11">
        <f>AW554+AX554</f>
        <v>0</v>
      </c>
      <c r="AW554" s="11">
        <f>G554*AO554</f>
        <v>0</v>
      </c>
      <c r="AX554" s="11">
        <f>G554*AP554</f>
        <v>0</v>
      </c>
      <c r="AY554" s="29" t="s">
        <v>1096</v>
      </c>
      <c r="AZ554" s="29" t="s">
        <v>1124</v>
      </c>
      <c r="BA554" s="26" t="s">
        <v>1131</v>
      </c>
      <c r="BB554" s="26" t="s">
        <v>1153</v>
      </c>
      <c r="BC554" s="11">
        <f>AW554+AX554</f>
        <v>0</v>
      </c>
      <c r="BD554" s="11">
        <f>H554/(100-BE554)*100</f>
        <v>0</v>
      </c>
      <c r="BE554" s="11">
        <v>0</v>
      </c>
      <c r="BF554" s="11">
        <f>L554</f>
        <v>554</v>
      </c>
      <c r="BH554" s="20">
        <f>G554*AO554</f>
        <v>0</v>
      </c>
      <c r="BI554" s="20">
        <f>G554*AP554</f>
        <v>0</v>
      </c>
      <c r="BJ554" s="20">
        <f>G554*H554</f>
        <v>0</v>
      </c>
      <c r="BK554" s="20" t="s">
        <v>1164</v>
      </c>
      <c r="BL554" s="11">
        <v>721</v>
      </c>
    </row>
    <row r="555" spans="1:64" x14ac:dyDescent="0.2">
      <c r="A555" s="35"/>
      <c r="B555" s="36"/>
      <c r="C555" s="81" t="s">
        <v>138</v>
      </c>
      <c r="D555" s="36"/>
      <c r="E555" s="82" t="s">
        <v>1029</v>
      </c>
      <c r="F555" s="36"/>
      <c r="G555" s="83">
        <v>1</v>
      </c>
      <c r="H555" s="36"/>
      <c r="I555" s="36"/>
      <c r="J555" s="36"/>
      <c r="K555" s="36"/>
      <c r="L555" s="36"/>
      <c r="M555" s="35"/>
      <c r="N555" s="32"/>
    </row>
    <row r="556" spans="1:64" x14ac:dyDescent="0.2">
      <c r="A556" s="77"/>
      <c r="B556" s="76" t="s">
        <v>101</v>
      </c>
      <c r="C556" s="204" t="s">
        <v>126</v>
      </c>
      <c r="D556" s="205"/>
      <c r="E556" s="205"/>
      <c r="F556" s="77" t="s">
        <v>60</v>
      </c>
      <c r="G556" s="77" t="s">
        <v>60</v>
      </c>
      <c r="H556" s="77" t="s">
        <v>60</v>
      </c>
      <c r="I556" s="78">
        <f>SUM(I557:I563)</f>
        <v>0</v>
      </c>
      <c r="J556" s="78">
        <f>SUM(J557:J563)</f>
        <v>0</v>
      </c>
      <c r="K556" s="78">
        <f>SUM(K557:K563)</f>
        <v>0</v>
      </c>
      <c r="L556" s="78">
        <f>SUM(L557:L563)</f>
        <v>23466</v>
      </c>
      <c r="M556" s="93"/>
      <c r="N556" s="32"/>
      <c r="AI556" s="26" t="s">
        <v>79</v>
      </c>
      <c r="AS556" s="31">
        <f>SUM(AJ557:AJ563)</f>
        <v>0</v>
      </c>
      <c r="AT556" s="31">
        <f>SUM(AK557:AK563)</f>
        <v>0</v>
      </c>
      <c r="AU556" s="31">
        <f>SUM(AL557:AL563)</f>
        <v>0</v>
      </c>
    </row>
    <row r="557" spans="1:64" x14ac:dyDescent="0.2">
      <c r="A557" s="79" t="s">
        <v>312</v>
      </c>
      <c r="B557" s="79" t="s">
        <v>455</v>
      </c>
      <c r="C557" s="194" t="s">
        <v>843</v>
      </c>
      <c r="D557" s="195"/>
      <c r="E557" s="195"/>
      <c r="F557" s="79" t="s">
        <v>1051</v>
      </c>
      <c r="G557" s="80">
        <v>20</v>
      </c>
      <c r="H557" s="80">
        <v>0</v>
      </c>
      <c r="I557" s="80">
        <f>G557*AO557</f>
        <v>0</v>
      </c>
      <c r="J557" s="80">
        <f>G557*AP557</f>
        <v>0</v>
      </c>
      <c r="K557" s="80">
        <f>G557*H557</f>
        <v>0</v>
      </c>
      <c r="L557" s="80">
        <f>G557*557</f>
        <v>11140</v>
      </c>
      <c r="M557" s="94" t="s">
        <v>1066</v>
      </c>
      <c r="N557" s="32"/>
      <c r="Z557" s="11">
        <f>IF(AQ557="5",BJ557,0)</f>
        <v>0</v>
      </c>
      <c r="AB557" s="11">
        <f>IF(AQ557="1",BH557,0)</f>
        <v>0</v>
      </c>
      <c r="AC557" s="11">
        <f>IF(AQ557="1",BI557,0)</f>
        <v>0</v>
      </c>
      <c r="AD557" s="11">
        <f>IF(AQ557="7",BH557,0)</f>
        <v>0</v>
      </c>
      <c r="AE557" s="11">
        <f>IF(AQ557="7",BI557,0)</f>
        <v>0</v>
      </c>
      <c r="AF557" s="11">
        <f>IF(AQ557="2",BH557,0)</f>
        <v>0</v>
      </c>
      <c r="AG557" s="11">
        <f>IF(AQ557="2",BI557,0)</f>
        <v>0</v>
      </c>
      <c r="AH557" s="11">
        <f>IF(AQ557="0",BJ557,0)</f>
        <v>0</v>
      </c>
      <c r="AI557" s="26" t="s">
        <v>79</v>
      </c>
      <c r="AJ557" s="20">
        <f>IF(AN557=0,K557,0)</f>
        <v>0</v>
      </c>
      <c r="AK557" s="20">
        <f>IF(AN557=15,K557,0)</f>
        <v>0</v>
      </c>
      <c r="AL557" s="20">
        <f>IF(AN557=21,K557,0)</f>
        <v>0</v>
      </c>
      <c r="AN557" s="11">
        <v>21</v>
      </c>
      <c r="AO557" s="11">
        <f>H557*0</f>
        <v>0</v>
      </c>
      <c r="AP557" s="11">
        <f>H557*(1-0)</f>
        <v>0</v>
      </c>
      <c r="AQ557" s="27" t="s">
        <v>144</v>
      </c>
      <c r="AV557" s="11">
        <f>AW557+AX557</f>
        <v>0</v>
      </c>
      <c r="AW557" s="11">
        <f>G557*AO557</f>
        <v>0</v>
      </c>
      <c r="AX557" s="11">
        <f>G557*AP557</f>
        <v>0</v>
      </c>
      <c r="AY557" s="29" t="s">
        <v>1094</v>
      </c>
      <c r="AZ557" s="29" t="s">
        <v>1124</v>
      </c>
      <c r="BA557" s="26" t="s">
        <v>1131</v>
      </c>
      <c r="BB557" s="26" t="s">
        <v>1151</v>
      </c>
      <c r="BC557" s="11">
        <f>AW557+AX557</f>
        <v>0</v>
      </c>
      <c r="BD557" s="11">
        <f>H557/(100-BE557)*100</f>
        <v>0</v>
      </c>
      <c r="BE557" s="11">
        <v>0</v>
      </c>
      <c r="BF557" s="11">
        <f>L557</f>
        <v>11140</v>
      </c>
      <c r="BH557" s="20">
        <f>G557*AO557</f>
        <v>0</v>
      </c>
      <c r="BI557" s="20">
        <f>G557*AP557</f>
        <v>0</v>
      </c>
      <c r="BJ557" s="20">
        <f>G557*H557</f>
        <v>0</v>
      </c>
      <c r="BK557" s="20" t="s">
        <v>1164</v>
      </c>
      <c r="BL557" s="11">
        <v>722</v>
      </c>
    </row>
    <row r="558" spans="1:64" x14ac:dyDescent="0.2">
      <c r="A558" s="35"/>
      <c r="B558" s="36"/>
      <c r="C558" s="81" t="s">
        <v>844</v>
      </c>
      <c r="D558" s="36"/>
      <c r="E558" s="82" t="s">
        <v>1024</v>
      </c>
      <c r="F558" s="36"/>
      <c r="G558" s="83">
        <v>20</v>
      </c>
      <c r="H558" s="36"/>
      <c r="I558" s="36"/>
      <c r="J558" s="36"/>
      <c r="K558" s="36"/>
      <c r="L558" s="36"/>
      <c r="M558" s="35"/>
      <c r="N558" s="32"/>
    </row>
    <row r="559" spans="1:64" x14ac:dyDescent="0.2">
      <c r="A559" s="79" t="s">
        <v>313</v>
      </c>
      <c r="B559" s="79" t="s">
        <v>456</v>
      </c>
      <c r="C559" s="194" t="s">
        <v>845</v>
      </c>
      <c r="D559" s="195"/>
      <c r="E559" s="195"/>
      <c r="F559" s="79" t="s">
        <v>1047</v>
      </c>
      <c r="G559" s="80">
        <v>14</v>
      </c>
      <c r="H559" s="80">
        <v>0</v>
      </c>
      <c r="I559" s="80">
        <f>G559*AO559</f>
        <v>0</v>
      </c>
      <c r="J559" s="80">
        <f>G559*AP559</f>
        <v>0</v>
      </c>
      <c r="K559" s="80">
        <f>G559*H559</f>
        <v>0</v>
      </c>
      <c r="L559" s="80">
        <f>G559*559</f>
        <v>7826</v>
      </c>
      <c r="M559" s="94" t="s">
        <v>1066</v>
      </c>
      <c r="N559" s="32"/>
      <c r="Z559" s="11">
        <f>IF(AQ559="5",BJ559,0)</f>
        <v>0</v>
      </c>
      <c r="AB559" s="11">
        <f>IF(AQ559="1",BH559,0)</f>
        <v>0</v>
      </c>
      <c r="AC559" s="11">
        <f>IF(AQ559="1",BI559,0)</f>
        <v>0</v>
      </c>
      <c r="AD559" s="11">
        <f>IF(AQ559="7",BH559,0)</f>
        <v>0</v>
      </c>
      <c r="AE559" s="11">
        <f>IF(AQ559="7",BI559,0)</f>
        <v>0</v>
      </c>
      <c r="AF559" s="11">
        <f>IF(AQ559="2",BH559,0)</f>
        <v>0</v>
      </c>
      <c r="AG559" s="11">
        <f>IF(AQ559="2",BI559,0)</f>
        <v>0</v>
      </c>
      <c r="AH559" s="11">
        <f>IF(AQ559="0",BJ559,0)</f>
        <v>0</v>
      </c>
      <c r="AI559" s="26" t="s">
        <v>79</v>
      </c>
      <c r="AJ559" s="20">
        <f>IF(AN559=0,K559,0)</f>
        <v>0</v>
      </c>
      <c r="AK559" s="20">
        <f>IF(AN559=15,K559,0)</f>
        <v>0</v>
      </c>
      <c r="AL559" s="20">
        <f>IF(AN559=21,K559,0)</f>
        <v>0</v>
      </c>
      <c r="AN559" s="11">
        <v>21</v>
      </c>
      <c r="AO559" s="11">
        <f>H559*0</f>
        <v>0</v>
      </c>
      <c r="AP559" s="11">
        <f>H559*(1-0)</f>
        <v>0</v>
      </c>
      <c r="AQ559" s="27" t="s">
        <v>144</v>
      </c>
      <c r="AV559" s="11">
        <f>AW559+AX559</f>
        <v>0</v>
      </c>
      <c r="AW559" s="11">
        <f>G559*AO559</f>
        <v>0</v>
      </c>
      <c r="AX559" s="11">
        <f>G559*AP559</f>
        <v>0</v>
      </c>
      <c r="AY559" s="29" t="s">
        <v>1094</v>
      </c>
      <c r="AZ559" s="29" t="s">
        <v>1124</v>
      </c>
      <c r="BA559" s="26" t="s">
        <v>1131</v>
      </c>
      <c r="BB559" s="26" t="s">
        <v>1151</v>
      </c>
      <c r="BC559" s="11">
        <f>AW559+AX559</f>
        <v>0</v>
      </c>
      <c r="BD559" s="11">
        <f>H559/(100-BE559)*100</f>
        <v>0</v>
      </c>
      <c r="BE559" s="11">
        <v>0</v>
      </c>
      <c r="BF559" s="11">
        <f>L559</f>
        <v>7826</v>
      </c>
      <c r="BH559" s="20">
        <f>G559*AO559</f>
        <v>0</v>
      </c>
      <c r="BI559" s="20">
        <f>G559*AP559</f>
        <v>0</v>
      </c>
      <c r="BJ559" s="20">
        <f>G559*H559</f>
        <v>0</v>
      </c>
      <c r="BK559" s="20" t="s">
        <v>1164</v>
      </c>
      <c r="BL559" s="11">
        <v>722</v>
      </c>
    </row>
    <row r="560" spans="1:64" x14ac:dyDescent="0.2">
      <c r="A560" s="35"/>
      <c r="B560" s="36"/>
      <c r="C560" s="81" t="s">
        <v>151</v>
      </c>
      <c r="D560" s="36"/>
      <c r="E560" s="82" t="s">
        <v>1024</v>
      </c>
      <c r="F560" s="36"/>
      <c r="G560" s="83">
        <v>14</v>
      </c>
      <c r="H560" s="36"/>
      <c r="I560" s="36"/>
      <c r="J560" s="36"/>
      <c r="K560" s="36"/>
      <c r="L560" s="36"/>
      <c r="M560" s="35"/>
      <c r="N560" s="32"/>
    </row>
    <row r="561" spans="1:64" x14ac:dyDescent="0.2">
      <c r="A561" s="79" t="s">
        <v>314</v>
      </c>
      <c r="B561" s="79" t="s">
        <v>457</v>
      </c>
      <c r="C561" s="194" t="s">
        <v>846</v>
      </c>
      <c r="D561" s="195"/>
      <c r="E561" s="195"/>
      <c r="F561" s="79" t="s">
        <v>1047</v>
      </c>
      <c r="G561" s="80">
        <v>2</v>
      </c>
      <c r="H561" s="80">
        <v>0</v>
      </c>
      <c r="I561" s="80">
        <f>G561*AO561</f>
        <v>0</v>
      </c>
      <c r="J561" s="80">
        <f>G561*AP561</f>
        <v>0</v>
      </c>
      <c r="K561" s="80">
        <f>G561*H561</f>
        <v>0</v>
      </c>
      <c r="L561" s="80">
        <f>G561*561</f>
        <v>1122</v>
      </c>
      <c r="M561" s="94" t="s">
        <v>1066</v>
      </c>
      <c r="N561" s="32"/>
      <c r="Z561" s="11">
        <f>IF(AQ561="5",BJ561,0)</f>
        <v>0</v>
      </c>
      <c r="AB561" s="11">
        <f>IF(AQ561="1",BH561,0)</f>
        <v>0</v>
      </c>
      <c r="AC561" s="11">
        <f>IF(AQ561="1",BI561,0)</f>
        <v>0</v>
      </c>
      <c r="AD561" s="11">
        <f>IF(AQ561="7",BH561,0)</f>
        <v>0</v>
      </c>
      <c r="AE561" s="11">
        <f>IF(AQ561="7",BI561,0)</f>
        <v>0</v>
      </c>
      <c r="AF561" s="11">
        <f>IF(AQ561="2",BH561,0)</f>
        <v>0</v>
      </c>
      <c r="AG561" s="11">
        <f>IF(AQ561="2",BI561,0)</f>
        <v>0</v>
      </c>
      <c r="AH561" s="11">
        <f>IF(AQ561="0",BJ561,0)</f>
        <v>0</v>
      </c>
      <c r="AI561" s="26" t="s">
        <v>79</v>
      </c>
      <c r="AJ561" s="20">
        <f>IF(AN561=0,K561,0)</f>
        <v>0</v>
      </c>
      <c r="AK561" s="20">
        <f>IF(AN561=15,K561,0)</f>
        <v>0</v>
      </c>
      <c r="AL561" s="20">
        <f>IF(AN561=21,K561,0)</f>
        <v>0</v>
      </c>
      <c r="AN561" s="11">
        <v>21</v>
      </c>
      <c r="AO561" s="11">
        <f>H561*0.0686315789473684</f>
        <v>0</v>
      </c>
      <c r="AP561" s="11">
        <f>H561*(1-0.0686315789473684)</f>
        <v>0</v>
      </c>
      <c r="AQ561" s="27" t="s">
        <v>144</v>
      </c>
      <c r="AV561" s="11">
        <f>AW561+AX561</f>
        <v>0</v>
      </c>
      <c r="AW561" s="11">
        <f>G561*AO561</f>
        <v>0</v>
      </c>
      <c r="AX561" s="11">
        <f>G561*AP561</f>
        <v>0</v>
      </c>
      <c r="AY561" s="29" t="s">
        <v>1094</v>
      </c>
      <c r="AZ561" s="29" t="s">
        <v>1124</v>
      </c>
      <c r="BA561" s="26" t="s">
        <v>1131</v>
      </c>
      <c r="BB561" s="26" t="s">
        <v>1151</v>
      </c>
      <c r="BC561" s="11">
        <f>AW561+AX561</f>
        <v>0</v>
      </c>
      <c r="BD561" s="11">
        <f>H561/(100-BE561)*100</f>
        <v>0</v>
      </c>
      <c r="BE561" s="11">
        <v>0</v>
      </c>
      <c r="BF561" s="11">
        <f>L561</f>
        <v>1122</v>
      </c>
      <c r="BH561" s="20">
        <f>G561*AO561</f>
        <v>0</v>
      </c>
      <c r="BI561" s="20">
        <f>G561*AP561</f>
        <v>0</v>
      </c>
      <c r="BJ561" s="20">
        <f>G561*H561</f>
        <v>0</v>
      </c>
      <c r="BK561" s="20" t="s">
        <v>1164</v>
      </c>
      <c r="BL561" s="11">
        <v>722</v>
      </c>
    </row>
    <row r="562" spans="1:64" x14ac:dyDescent="0.2">
      <c r="A562" s="35"/>
      <c r="B562" s="36"/>
      <c r="C562" s="81" t="s">
        <v>139</v>
      </c>
      <c r="D562" s="36"/>
      <c r="E562" s="82" t="s">
        <v>1030</v>
      </c>
      <c r="F562" s="36"/>
      <c r="G562" s="83">
        <v>2</v>
      </c>
      <c r="H562" s="36"/>
      <c r="I562" s="36"/>
      <c r="J562" s="36"/>
      <c r="K562" s="36"/>
      <c r="L562" s="36"/>
      <c r="M562" s="35"/>
      <c r="N562" s="32"/>
    </row>
    <row r="563" spans="1:64" x14ac:dyDescent="0.2">
      <c r="A563" s="79" t="s">
        <v>315</v>
      </c>
      <c r="B563" s="79" t="s">
        <v>458</v>
      </c>
      <c r="C563" s="194" t="s">
        <v>847</v>
      </c>
      <c r="D563" s="195"/>
      <c r="E563" s="195"/>
      <c r="F563" s="79" t="s">
        <v>1051</v>
      </c>
      <c r="G563" s="80">
        <v>6</v>
      </c>
      <c r="H563" s="80">
        <v>0</v>
      </c>
      <c r="I563" s="80">
        <f>G563*AO563</f>
        <v>0</v>
      </c>
      <c r="J563" s="80">
        <f>G563*AP563</f>
        <v>0</v>
      </c>
      <c r="K563" s="80">
        <f>G563*H563</f>
        <v>0</v>
      </c>
      <c r="L563" s="80">
        <f>G563*563</f>
        <v>3378</v>
      </c>
      <c r="M563" s="94" t="s">
        <v>1066</v>
      </c>
      <c r="N563" s="32"/>
      <c r="Z563" s="11">
        <f>IF(AQ563="5",BJ563,0)</f>
        <v>0</v>
      </c>
      <c r="AB563" s="11">
        <f>IF(AQ563="1",BH563,0)</f>
        <v>0</v>
      </c>
      <c r="AC563" s="11">
        <f>IF(AQ563="1",BI563,0)</f>
        <v>0</v>
      </c>
      <c r="AD563" s="11">
        <f>IF(AQ563="7",BH563,0)</f>
        <v>0</v>
      </c>
      <c r="AE563" s="11">
        <f>IF(AQ563="7",BI563,0)</f>
        <v>0</v>
      </c>
      <c r="AF563" s="11">
        <f>IF(AQ563="2",BH563,0)</f>
        <v>0</v>
      </c>
      <c r="AG563" s="11">
        <f>IF(AQ563="2",BI563,0)</f>
        <v>0</v>
      </c>
      <c r="AH563" s="11">
        <f>IF(AQ563="0",BJ563,0)</f>
        <v>0</v>
      </c>
      <c r="AI563" s="26" t="s">
        <v>79</v>
      </c>
      <c r="AJ563" s="20">
        <f>IF(AN563=0,K563,0)</f>
        <v>0</v>
      </c>
      <c r="AK563" s="20">
        <f>IF(AN563=15,K563,0)</f>
        <v>0</v>
      </c>
      <c r="AL563" s="20">
        <f>IF(AN563=21,K563,0)</f>
        <v>0</v>
      </c>
      <c r="AN563" s="11">
        <v>21</v>
      </c>
      <c r="AO563" s="11">
        <f>H563*0.238052550231839</f>
        <v>0</v>
      </c>
      <c r="AP563" s="11">
        <f>H563*(1-0.238052550231839)</f>
        <v>0</v>
      </c>
      <c r="AQ563" s="27" t="s">
        <v>144</v>
      </c>
      <c r="AV563" s="11">
        <f>AW563+AX563</f>
        <v>0</v>
      </c>
      <c r="AW563" s="11">
        <f>G563*AO563</f>
        <v>0</v>
      </c>
      <c r="AX563" s="11">
        <f>G563*AP563</f>
        <v>0</v>
      </c>
      <c r="AY563" s="29" t="s">
        <v>1094</v>
      </c>
      <c r="AZ563" s="29" t="s">
        <v>1124</v>
      </c>
      <c r="BA563" s="26" t="s">
        <v>1131</v>
      </c>
      <c r="BB563" s="26" t="s">
        <v>1151</v>
      </c>
      <c r="BC563" s="11">
        <f>AW563+AX563</f>
        <v>0</v>
      </c>
      <c r="BD563" s="11">
        <f>H563/(100-BE563)*100</f>
        <v>0</v>
      </c>
      <c r="BE563" s="11">
        <v>0</v>
      </c>
      <c r="BF563" s="11">
        <f>L563</f>
        <v>3378</v>
      </c>
      <c r="BH563" s="20">
        <f>G563*AO563</f>
        <v>0</v>
      </c>
      <c r="BI563" s="20">
        <f>G563*AP563</f>
        <v>0</v>
      </c>
      <c r="BJ563" s="20">
        <f>G563*H563</f>
        <v>0</v>
      </c>
      <c r="BK563" s="20" t="s">
        <v>1164</v>
      </c>
      <c r="BL563" s="11">
        <v>722</v>
      </c>
    </row>
    <row r="564" spans="1:64" x14ac:dyDescent="0.2">
      <c r="A564" s="35"/>
      <c r="B564" s="36"/>
      <c r="C564" s="81" t="s">
        <v>848</v>
      </c>
      <c r="D564" s="36"/>
      <c r="E564" s="82" t="s">
        <v>1026</v>
      </c>
      <c r="F564" s="36"/>
      <c r="G564" s="83">
        <v>6</v>
      </c>
      <c r="H564" s="36"/>
      <c r="I564" s="36"/>
      <c r="J564" s="36"/>
      <c r="K564" s="36"/>
      <c r="L564" s="36"/>
      <c r="M564" s="35"/>
      <c r="N564" s="32"/>
    </row>
    <row r="565" spans="1:64" x14ac:dyDescent="0.2">
      <c r="A565" s="77"/>
      <c r="B565" s="76" t="s">
        <v>104</v>
      </c>
      <c r="C565" s="204" t="s">
        <v>129</v>
      </c>
      <c r="D565" s="205"/>
      <c r="E565" s="205"/>
      <c r="F565" s="77" t="s">
        <v>60</v>
      </c>
      <c r="G565" s="77" t="s">
        <v>60</v>
      </c>
      <c r="H565" s="77" t="s">
        <v>60</v>
      </c>
      <c r="I565" s="78">
        <f>SUM(I566:I572)</f>
        <v>0</v>
      </c>
      <c r="J565" s="78">
        <f>SUM(J566:J572)</f>
        <v>0</v>
      </c>
      <c r="K565" s="78">
        <f>SUM(K566:K572)</f>
        <v>0</v>
      </c>
      <c r="L565" s="78">
        <f>SUM(L566:L572)</f>
        <v>13117</v>
      </c>
      <c r="M565" s="93"/>
      <c r="N565" s="32"/>
      <c r="AI565" s="26" t="s">
        <v>79</v>
      </c>
      <c r="AS565" s="31">
        <f>SUM(AJ566:AJ572)</f>
        <v>0</v>
      </c>
      <c r="AT565" s="31">
        <f>SUM(AK566:AK572)</f>
        <v>0</v>
      </c>
      <c r="AU565" s="31">
        <f>SUM(AL566:AL572)</f>
        <v>0</v>
      </c>
    </row>
    <row r="566" spans="1:64" x14ac:dyDescent="0.2">
      <c r="A566" s="79" t="s">
        <v>316</v>
      </c>
      <c r="B566" s="79" t="s">
        <v>459</v>
      </c>
      <c r="C566" s="194" t="s">
        <v>849</v>
      </c>
      <c r="D566" s="195"/>
      <c r="E566" s="195"/>
      <c r="F566" s="79" t="s">
        <v>1051</v>
      </c>
      <c r="G566" s="80">
        <v>3</v>
      </c>
      <c r="H566" s="80">
        <v>0</v>
      </c>
      <c r="I566" s="80">
        <f>G566*AO566</f>
        <v>0</v>
      </c>
      <c r="J566" s="80">
        <f>G566*AP566</f>
        <v>0</v>
      </c>
      <c r="K566" s="80">
        <f>G566*H566</f>
        <v>0</v>
      </c>
      <c r="L566" s="80">
        <f>G566*566</f>
        <v>1698</v>
      </c>
      <c r="M566" s="94" t="s">
        <v>1066</v>
      </c>
      <c r="N566" s="32"/>
      <c r="Z566" s="11">
        <f>IF(AQ566="5",BJ566,0)</f>
        <v>0</v>
      </c>
      <c r="AB566" s="11">
        <f>IF(AQ566="1",BH566,0)</f>
        <v>0</v>
      </c>
      <c r="AC566" s="11">
        <f>IF(AQ566="1",BI566,0)</f>
        <v>0</v>
      </c>
      <c r="AD566" s="11">
        <f>IF(AQ566="7",BH566,0)</f>
        <v>0</v>
      </c>
      <c r="AE566" s="11">
        <f>IF(AQ566="7",BI566,0)</f>
        <v>0</v>
      </c>
      <c r="AF566" s="11">
        <f>IF(AQ566="2",BH566,0)</f>
        <v>0</v>
      </c>
      <c r="AG566" s="11">
        <f>IF(AQ566="2",BI566,0)</f>
        <v>0</v>
      </c>
      <c r="AH566" s="11">
        <f>IF(AQ566="0",BJ566,0)</f>
        <v>0</v>
      </c>
      <c r="AI566" s="26" t="s">
        <v>79</v>
      </c>
      <c r="AJ566" s="20">
        <f>IF(AN566=0,K566,0)</f>
        <v>0</v>
      </c>
      <c r="AK566" s="20">
        <f>IF(AN566=15,K566,0)</f>
        <v>0</v>
      </c>
      <c r="AL566" s="20">
        <f>IF(AN566=21,K566,0)</f>
        <v>0</v>
      </c>
      <c r="AN566" s="11">
        <v>21</v>
      </c>
      <c r="AO566" s="11">
        <f>H566*0.816341463414634</f>
        <v>0</v>
      </c>
      <c r="AP566" s="11">
        <f>H566*(1-0.816341463414634)</f>
        <v>0</v>
      </c>
      <c r="AQ566" s="27" t="s">
        <v>144</v>
      </c>
      <c r="AV566" s="11">
        <f>AW566+AX566</f>
        <v>0</v>
      </c>
      <c r="AW566" s="11">
        <f>G566*AO566</f>
        <v>0</v>
      </c>
      <c r="AX566" s="11">
        <f>G566*AP566</f>
        <v>0</v>
      </c>
      <c r="AY566" s="29" t="s">
        <v>1097</v>
      </c>
      <c r="AZ566" s="29" t="s">
        <v>1124</v>
      </c>
      <c r="BA566" s="26" t="s">
        <v>1131</v>
      </c>
      <c r="BB566" s="26" t="s">
        <v>1154</v>
      </c>
      <c r="BC566" s="11">
        <f>AW566+AX566</f>
        <v>0</v>
      </c>
      <c r="BD566" s="11">
        <f>H566/(100-BE566)*100</f>
        <v>0</v>
      </c>
      <c r="BE566" s="11">
        <v>0</v>
      </c>
      <c r="BF566" s="11">
        <f>L566</f>
        <v>1698</v>
      </c>
      <c r="BH566" s="20">
        <f>G566*AO566</f>
        <v>0</v>
      </c>
      <c r="BI566" s="20">
        <f>G566*AP566</f>
        <v>0</v>
      </c>
      <c r="BJ566" s="20">
        <f>G566*H566</f>
        <v>0</v>
      </c>
      <c r="BK566" s="20" t="s">
        <v>1164</v>
      </c>
      <c r="BL566" s="11">
        <v>723</v>
      </c>
    </row>
    <row r="567" spans="1:64" x14ac:dyDescent="0.2">
      <c r="A567" s="35"/>
      <c r="B567" s="86" t="s">
        <v>354</v>
      </c>
      <c r="C567" s="196" t="s">
        <v>850</v>
      </c>
      <c r="D567" s="197"/>
      <c r="E567" s="197"/>
      <c r="F567" s="197"/>
      <c r="G567" s="197"/>
      <c r="H567" s="197"/>
      <c r="I567" s="197"/>
      <c r="J567" s="197"/>
      <c r="K567" s="197"/>
      <c r="L567" s="197"/>
      <c r="M567" s="197"/>
      <c r="N567" s="32"/>
    </row>
    <row r="568" spans="1:64" x14ac:dyDescent="0.2">
      <c r="A568" s="35"/>
      <c r="B568" s="36"/>
      <c r="C568" s="81" t="s">
        <v>140</v>
      </c>
      <c r="D568" s="36"/>
      <c r="E568" s="82" t="s">
        <v>1031</v>
      </c>
      <c r="F568" s="36"/>
      <c r="G568" s="83">
        <v>3</v>
      </c>
      <c r="H568" s="36"/>
      <c r="I568" s="36"/>
      <c r="J568" s="36"/>
      <c r="K568" s="36"/>
      <c r="L568" s="36"/>
      <c r="M568" s="35"/>
      <c r="N568" s="32"/>
    </row>
    <row r="569" spans="1:64" x14ac:dyDescent="0.2">
      <c r="A569" s="79" t="s">
        <v>317</v>
      </c>
      <c r="B569" s="79" t="s">
        <v>460</v>
      </c>
      <c r="C569" s="194" t="s">
        <v>851</v>
      </c>
      <c r="D569" s="195"/>
      <c r="E569" s="195"/>
      <c r="F569" s="79" t="s">
        <v>1047</v>
      </c>
      <c r="G569" s="80">
        <v>1</v>
      </c>
      <c r="H569" s="80">
        <v>0</v>
      </c>
      <c r="I569" s="80">
        <f>G569*AO569</f>
        <v>0</v>
      </c>
      <c r="J569" s="80">
        <f>G569*AP569</f>
        <v>0</v>
      </c>
      <c r="K569" s="80">
        <f>G569*H569</f>
        <v>0</v>
      </c>
      <c r="L569" s="80">
        <f>G569*569</f>
        <v>569</v>
      </c>
      <c r="M569" s="94" t="s">
        <v>1066</v>
      </c>
      <c r="N569" s="32"/>
      <c r="Z569" s="11">
        <f>IF(AQ569="5",BJ569,0)</f>
        <v>0</v>
      </c>
      <c r="AB569" s="11">
        <f>IF(AQ569="1",BH569,0)</f>
        <v>0</v>
      </c>
      <c r="AC569" s="11">
        <f>IF(AQ569="1",BI569,0)</f>
        <v>0</v>
      </c>
      <c r="AD569" s="11">
        <f>IF(AQ569="7",BH569,0)</f>
        <v>0</v>
      </c>
      <c r="AE569" s="11">
        <f>IF(AQ569="7",BI569,0)</f>
        <v>0</v>
      </c>
      <c r="AF569" s="11">
        <f>IF(AQ569="2",BH569,0)</f>
        <v>0</v>
      </c>
      <c r="AG569" s="11">
        <f>IF(AQ569="2",BI569,0)</f>
        <v>0</v>
      </c>
      <c r="AH569" s="11">
        <f>IF(AQ569="0",BJ569,0)</f>
        <v>0</v>
      </c>
      <c r="AI569" s="26" t="s">
        <v>79</v>
      </c>
      <c r="AJ569" s="20">
        <f>IF(AN569=0,K569,0)</f>
        <v>0</v>
      </c>
      <c r="AK569" s="20">
        <f>IF(AN569=15,K569,0)</f>
        <v>0</v>
      </c>
      <c r="AL569" s="20">
        <f>IF(AN569=21,K569,0)</f>
        <v>0</v>
      </c>
      <c r="AN569" s="11">
        <v>21</v>
      </c>
      <c r="AO569" s="11">
        <f>H569*0.167722513089005</f>
        <v>0</v>
      </c>
      <c r="AP569" s="11">
        <f>H569*(1-0.167722513089005)</f>
        <v>0</v>
      </c>
      <c r="AQ569" s="27" t="s">
        <v>144</v>
      </c>
      <c r="AV569" s="11">
        <f>AW569+AX569</f>
        <v>0</v>
      </c>
      <c r="AW569" s="11">
        <f>G569*AO569</f>
        <v>0</v>
      </c>
      <c r="AX569" s="11">
        <f>G569*AP569</f>
        <v>0</v>
      </c>
      <c r="AY569" s="29" t="s">
        <v>1097</v>
      </c>
      <c r="AZ569" s="29" t="s">
        <v>1124</v>
      </c>
      <c r="BA569" s="26" t="s">
        <v>1131</v>
      </c>
      <c r="BB569" s="26" t="s">
        <v>1154</v>
      </c>
      <c r="BC569" s="11">
        <f>AW569+AX569</f>
        <v>0</v>
      </c>
      <c r="BD569" s="11">
        <f>H569/(100-BE569)*100</f>
        <v>0</v>
      </c>
      <c r="BE569" s="11">
        <v>0</v>
      </c>
      <c r="BF569" s="11">
        <f>L569</f>
        <v>569</v>
      </c>
      <c r="BH569" s="20">
        <f>G569*AO569</f>
        <v>0</v>
      </c>
      <c r="BI569" s="20">
        <f>G569*AP569</f>
        <v>0</v>
      </c>
      <c r="BJ569" s="20">
        <f>G569*H569</f>
        <v>0</v>
      </c>
      <c r="BK569" s="20" t="s">
        <v>1164</v>
      </c>
      <c r="BL569" s="11">
        <v>723</v>
      </c>
    </row>
    <row r="570" spans="1:64" x14ac:dyDescent="0.2">
      <c r="A570" s="35"/>
      <c r="B570" s="36"/>
      <c r="C570" s="81" t="s">
        <v>138</v>
      </c>
      <c r="D570" s="36"/>
      <c r="E570" s="82" t="s">
        <v>1032</v>
      </c>
      <c r="F570" s="36"/>
      <c r="G570" s="83">
        <v>1</v>
      </c>
      <c r="H570" s="36"/>
      <c r="I570" s="36"/>
      <c r="J570" s="36"/>
      <c r="K570" s="36"/>
      <c r="L570" s="36"/>
      <c r="M570" s="35"/>
      <c r="N570" s="32"/>
    </row>
    <row r="571" spans="1:64" x14ac:dyDescent="0.2">
      <c r="A571" s="79" t="s">
        <v>318</v>
      </c>
      <c r="B571" s="79" t="s">
        <v>461</v>
      </c>
      <c r="C571" s="194" t="s">
        <v>852</v>
      </c>
      <c r="D571" s="195"/>
      <c r="E571" s="195"/>
      <c r="F571" s="79" t="s">
        <v>1051</v>
      </c>
      <c r="G571" s="80">
        <v>18</v>
      </c>
      <c r="H571" s="80">
        <v>0</v>
      </c>
      <c r="I571" s="80">
        <f>G571*AO571</f>
        <v>0</v>
      </c>
      <c r="J571" s="80">
        <f>G571*AP571</f>
        <v>0</v>
      </c>
      <c r="K571" s="80">
        <f>G571*H571</f>
        <v>0</v>
      </c>
      <c r="L571" s="80">
        <f>G571*571</f>
        <v>10278</v>
      </c>
      <c r="M571" s="94" t="s">
        <v>1066</v>
      </c>
      <c r="N571" s="32"/>
      <c r="Z571" s="11">
        <f>IF(AQ571="5",BJ571,0)</f>
        <v>0</v>
      </c>
      <c r="AB571" s="11">
        <f>IF(AQ571="1",BH571,0)</f>
        <v>0</v>
      </c>
      <c r="AC571" s="11">
        <f>IF(AQ571="1",BI571,0)</f>
        <v>0</v>
      </c>
      <c r="AD571" s="11">
        <f>IF(AQ571="7",BH571,0)</f>
        <v>0</v>
      </c>
      <c r="AE571" s="11">
        <f>IF(AQ571="7",BI571,0)</f>
        <v>0</v>
      </c>
      <c r="AF571" s="11">
        <f>IF(AQ571="2",BH571,0)</f>
        <v>0</v>
      </c>
      <c r="AG571" s="11">
        <f>IF(AQ571="2",BI571,0)</f>
        <v>0</v>
      </c>
      <c r="AH571" s="11">
        <f>IF(AQ571="0",BJ571,0)</f>
        <v>0</v>
      </c>
      <c r="AI571" s="26" t="s">
        <v>79</v>
      </c>
      <c r="AJ571" s="20">
        <f>IF(AN571=0,K571,0)</f>
        <v>0</v>
      </c>
      <c r="AK571" s="20">
        <f>IF(AN571=15,K571,0)</f>
        <v>0</v>
      </c>
      <c r="AL571" s="20">
        <f>IF(AN571=21,K571,0)</f>
        <v>0</v>
      </c>
      <c r="AN571" s="11">
        <v>21</v>
      </c>
      <c r="AO571" s="11">
        <f>H571*0</f>
        <v>0</v>
      </c>
      <c r="AP571" s="11">
        <f>H571*(1-0)</f>
        <v>0</v>
      </c>
      <c r="AQ571" s="27" t="s">
        <v>144</v>
      </c>
      <c r="AV571" s="11">
        <f>AW571+AX571</f>
        <v>0</v>
      </c>
      <c r="AW571" s="11">
        <f>G571*AO571</f>
        <v>0</v>
      </c>
      <c r="AX571" s="11">
        <f>G571*AP571</f>
        <v>0</v>
      </c>
      <c r="AY571" s="29" t="s">
        <v>1097</v>
      </c>
      <c r="AZ571" s="29" t="s">
        <v>1124</v>
      </c>
      <c r="BA571" s="26" t="s">
        <v>1131</v>
      </c>
      <c r="BB571" s="26" t="s">
        <v>1154</v>
      </c>
      <c r="BC571" s="11">
        <f>AW571+AX571</f>
        <v>0</v>
      </c>
      <c r="BD571" s="11">
        <f>H571/(100-BE571)*100</f>
        <v>0</v>
      </c>
      <c r="BE571" s="11">
        <v>0</v>
      </c>
      <c r="BF571" s="11">
        <f>L571</f>
        <v>10278</v>
      </c>
      <c r="BH571" s="20">
        <f>G571*AO571</f>
        <v>0</v>
      </c>
      <c r="BI571" s="20">
        <f>G571*AP571</f>
        <v>0</v>
      </c>
      <c r="BJ571" s="20">
        <f>G571*H571</f>
        <v>0</v>
      </c>
      <c r="BK571" s="20" t="s">
        <v>1164</v>
      </c>
      <c r="BL571" s="11">
        <v>723</v>
      </c>
    </row>
    <row r="572" spans="1:64" x14ac:dyDescent="0.2">
      <c r="A572" s="79" t="s">
        <v>319</v>
      </c>
      <c r="B572" s="79" t="s">
        <v>462</v>
      </c>
      <c r="C572" s="194" t="s">
        <v>853</v>
      </c>
      <c r="D572" s="195"/>
      <c r="E572" s="195"/>
      <c r="F572" s="79" t="s">
        <v>1047</v>
      </c>
      <c r="G572" s="80">
        <v>1</v>
      </c>
      <c r="H572" s="80">
        <v>0</v>
      </c>
      <c r="I572" s="80">
        <f>G572*AO572</f>
        <v>0</v>
      </c>
      <c r="J572" s="80">
        <f>G572*AP572</f>
        <v>0</v>
      </c>
      <c r="K572" s="80">
        <f>G572*H572</f>
        <v>0</v>
      </c>
      <c r="L572" s="80">
        <f>G572*572</f>
        <v>572</v>
      </c>
      <c r="M572" s="94" t="s">
        <v>1066</v>
      </c>
      <c r="N572" s="32"/>
      <c r="Z572" s="11">
        <f>IF(AQ572="5",BJ572,0)</f>
        <v>0</v>
      </c>
      <c r="AB572" s="11">
        <f>IF(AQ572="1",BH572,0)</f>
        <v>0</v>
      </c>
      <c r="AC572" s="11">
        <f>IF(AQ572="1",BI572,0)</f>
        <v>0</v>
      </c>
      <c r="AD572" s="11">
        <f>IF(AQ572="7",BH572,0)</f>
        <v>0</v>
      </c>
      <c r="AE572" s="11">
        <f>IF(AQ572="7",BI572,0)</f>
        <v>0</v>
      </c>
      <c r="AF572" s="11">
        <f>IF(AQ572="2",BH572,0)</f>
        <v>0</v>
      </c>
      <c r="AG572" s="11">
        <f>IF(AQ572="2",BI572,0)</f>
        <v>0</v>
      </c>
      <c r="AH572" s="11">
        <f>IF(AQ572="0",BJ572,0)</f>
        <v>0</v>
      </c>
      <c r="AI572" s="26" t="s">
        <v>79</v>
      </c>
      <c r="AJ572" s="20">
        <f>IF(AN572=0,K572,0)</f>
        <v>0</v>
      </c>
      <c r="AK572" s="20">
        <f>IF(AN572=15,K572,0)</f>
        <v>0</v>
      </c>
      <c r="AL572" s="20">
        <f>IF(AN572=21,K572,0)</f>
        <v>0</v>
      </c>
      <c r="AN572" s="11">
        <v>21</v>
      </c>
      <c r="AO572" s="11">
        <f>H572*0</f>
        <v>0</v>
      </c>
      <c r="AP572" s="11">
        <f>H572*(1-0)</f>
        <v>0</v>
      </c>
      <c r="AQ572" s="27" t="s">
        <v>144</v>
      </c>
      <c r="AV572" s="11">
        <f>AW572+AX572</f>
        <v>0</v>
      </c>
      <c r="AW572" s="11">
        <f>G572*AO572</f>
        <v>0</v>
      </c>
      <c r="AX572" s="11">
        <f>G572*AP572</f>
        <v>0</v>
      </c>
      <c r="AY572" s="29" t="s">
        <v>1097</v>
      </c>
      <c r="AZ572" s="29" t="s">
        <v>1124</v>
      </c>
      <c r="BA572" s="26" t="s">
        <v>1131</v>
      </c>
      <c r="BB572" s="26" t="s">
        <v>1154</v>
      </c>
      <c r="BC572" s="11">
        <f>AW572+AX572</f>
        <v>0</v>
      </c>
      <c r="BD572" s="11">
        <f>H572/(100-BE572)*100</f>
        <v>0</v>
      </c>
      <c r="BE572" s="11">
        <v>0</v>
      </c>
      <c r="BF572" s="11">
        <f>L572</f>
        <v>572</v>
      </c>
      <c r="BH572" s="20">
        <f>G572*AO572</f>
        <v>0</v>
      </c>
      <c r="BI572" s="20">
        <f>G572*AP572</f>
        <v>0</v>
      </c>
      <c r="BJ572" s="20">
        <f>G572*H572</f>
        <v>0</v>
      </c>
      <c r="BK572" s="20" t="s">
        <v>1164</v>
      </c>
      <c r="BL572" s="11">
        <v>723</v>
      </c>
    </row>
    <row r="573" spans="1:64" x14ac:dyDescent="0.2">
      <c r="A573" s="77"/>
      <c r="B573" s="76" t="s">
        <v>89</v>
      </c>
      <c r="C573" s="204" t="s">
        <v>115</v>
      </c>
      <c r="D573" s="205"/>
      <c r="E573" s="205"/>
      <c r="F573" s="77" t="s">
        <v>60</v>
      </c>
      <c r="G573" s="77" t="s">
        <v>60</v>
      </c>
      <c r="H573" s="77" t="s">
        <v>60</v>
      </c>
      <c r="I573" s="78">
        <f>SUM(I574:I596)</f>
        <v>0</v>
      </c>
      <c r="J573" s="78">
        <f>SUM(J574:J596)</f>
        <v>0</v>
      </c>
      <c r="K573" s="78">
        <f>SUM(K574:K596)</f>
        <v>0</v>
      </c>
      <c r="L573" s="78">
        <f>SUM(L574:L596)</f>
        <v>16325</v>
      </c>
      <c r="M573" s="93"/>
      <c r="N573" s="32"/>
      <c r="AI573" s="26" t="s">
        <v>79</v>
      </c>
      <c r="AS573" s="31">
        <f>SUM(AJ574:AJ596)</f>
        <v>0</v>
      </c>
      <c r="AT573" s="31">
        <f>SUM(AK574:AK596)</f>
        <v>0</v>
      </c>
      <c r="AU573" s="31">
        <f>SUM(AL574:AL596)</f>
        <v>0</v>
      </c>
    </row>
    <row r="574" spans="1:64" x14ac:dyDescent="0.2">
      <c r="A574" s="79" t="s">
        <v>320</v>
      </c>
      <c r="B574" s="79" t="s">
        <v>463</v>
      </c>
      <c r="C574" s="194" t="s">
        <v>854</v>
      </c>
      <c r="D574" s="195"/>
      <c r="E574" s="195"/>
      <c r="F574" s="79" t="s">
        <v>1047</v>
      </c>
      <c r="G574" s="80">
        <v>2</v>
      </c>
      <c r="H574" s="80">
        <v>0</v>
      </c>
      <c r="I574" s="80">
        <f>G574*AO574</f>
        <v>0</v>
      </c>
      <c r="J574" s="80">
        <f>G574*AP574</f>
        <v>0</v>
      </c>
      <c r="K574" s="80">
        <f>G574*H574</f>
        <v>0</v>
      </c>
      <c r="L574" s="80">
        <f>G574*574</f>
        <v>1148</v>
      </c>
      <c r="M574" s="94" t="s">
        <v>1066</v>
      </c>
      <c r="N574" s="32"/>
      <c r="Z574" s="11">
        <f>IF(AQ574="5",BJ574,0)</f>
        <v>0</v>
      </c>
      <c r="AB574" s="11">
        <f>IF(AQ574="1",BH574,0)</f>
        <v>0</v>
      </c>
      <c r="AC574" s="11">
        <f>IF(AQ574="1",BI574,0)</f>
        <v>0</v>
      </c>
      <c r="AD574" s="11">
        <f>IF(AQ574="7",BH574,0)</f>
        <v>0</v>
      </c>
      <c r="AE574" s="11">
        <f>IF(AQ574="7",BI574,0)</f>
        <v>0</v>
      </c>
      <c r="AF574" s="11">
        <f>IF(AQ574="2",BH574,0)</f>
        <v>0</v>
      </c>
      <c r="AG574" s="11">
        <f>IF(AQ574="2",BI574,0)</f>
        <v>0</v>
      </c>
      <c r="AH574" s="11">
        <f>IF(AQ574="0",BJ574,0)</f>
        <v>0</v>
      </c>
      <c r="AI574" s="26" t="s">
        <v>79</v>
      </c>
      <c r="AJ574" s="20">
        <f>IF(AN574=0,K574,0)</f>
        <v>0</v>
      </c>
      <c r="AK574" s="20">
        <f>IF(AN574=15,K574,0)</f>
        <v>0</v>
      </c>
      <c r="AL574" s="20">
        <f>IF(AN574=21,K574,0)</f>
        <v>0</v>
      </c>
      <c r="AN574" s="11">
        <v>21</v>
      </c>
      <c r="AO574" s="11">
        <f>H574*0</f>
        <v>0</v>
      </c>
      <c r="AP574" s="11">
        <f>H574*(1-0)</f>
        <v>0</v>
      </c>
      <c r="AQ574" s="27" t="s">
        <v>144</v>
      </c>
      <c r="AV574" s="11">
        <f>AW574+AX574</f>
        <v>0</v>
      </c>
      <c r="AW574" s="11">
        <f>G574*AO574</f>
        <v>0</v>
      </c>
      <c r="AX574" s="11">
        <f>G574*AP574</f>
        <v>0</v>
      </c>
      <c r="AY574" s="29" t="s">
        <v>1082</v>
      </c>
      <c r="AZ574" s="29" t="s">
        <v>1124</v>
      </c>
      <c r="BA574" s="26" t="s">
        <v>1131</v>
      </c>
      <c r="BB574" s="26" t="s">
        <v>1139</v>
      </c>
      <c r="BC574" s="11">
        <f>AW574+AX574</f>
        <v>0</v>
      </c>
      <c r="BD574" s="11">
        <f>H574/(100-BE574)*100</f>
        <v>0</v>
      </c>
      <c r="BE574" s="11">
        <v>0</v>
      </c>
      <c r="BF574" s="11">
        <f>L574</f>
        <v>1148</v>
      </c>
      <c r="BH574" s="20">
        <f>G574*AO574</f>
        <v>0</v>
      </c>
      <c r="BI574" s="20">
        <f>G574*AP574</f>
        <v>0</v>
      </c>
      <c r="BJ574" s="20">
        <f>G574*H574</f>
        <v>0</v>
      </c>
      <c r="BK574" s="20" t="s">
        <v>1164</v>
      </c>
      <c r="BL574" s="11">
        <v>725</v>
      </c>
    </row>
    <row r="575" spans="1:64" x14ac:dyDescent="0.2">
      <c r="A575" s="35"/>
      <c r="B575" s="36"/>
      <c r="C575" s="81" t="s">
        <v>569</v>
      </c>
      <c r="D575" s="36"/>
      <c r="E575" s="82" t="s">
        <v>1033</v>
      </c>
      <c r="F575" s="36"/>
      <c r="G575" s="83">
        <v>2</v>
      </c>
      <c r="H575" s="36"/>
      <c r="I575" s="36"/>
      <c r="J575" s="36"/>
      <c r="K575" s="36"/>
      <c r="L575" s="36"/>
      <c r="M575" s="35"/>
      <c r="N575" s="32"/>
    </row>
    <row r="576" spans="1:64" x14ac:dyDescent="0.2">
      <c r="A576" s="79" t="s">
        <v>321</v>
      </c>
      <c r="B576" s="79" t="s">
        <v>464</v>
      </c>
      <c r="C576" s="194" t="s">
        <v>855</v>
      </c>
      <c r="D576" s="195"/>
      <c r="E576" s="195"/>
      <c r="F576" s="79" t="s">
        <v>1052</v>
      </c>
      <c r="G576" s="80">
        <v>3</v>
      </c>
      <c r="H576" s="80">
        <v>0</v>
      </c>
      <c r="I576" s="80">
        <f>G576*AO576</f>
        <v>0</v>
      </c>
      <c r="J576" s="80">
        <f>G576*AP576</f>
        <v>0</v>
      </c>
      <c r="K576" s="80">
        <f>G576*H576</f>
        <v>0</v>
      </c>
      <c r="L576" s="80">
        <f>G576*576</f>
        <v>1728</v>
      </c>
      <c r="M576" s="94" t="s">
        <v>1066</v>
      </c>
      <c r="N576" s="32"/>
      <c r="Z576" s="11">
        <f>IF(AQ576="5",BJ576,0)</f>
        <v>0</v>
      </c>
      <c r="AB576" s="11">
        <f>IF(AQ576="1",BH576,0)</f>
        <v>0</v>
      </c>
      <c r="AC576" s="11">
        <f>IF(AQ576="1",BI576,0)</f>
        <v>0</v>
      </c>
      <c r="AD576" s="11">
        <f>IF(AQ576="7",BH576,0)</f>
        <v>0</v>
      </c>
      <c r="AE576" s="11">
        <f>IF(AQ576="7",BI576,0)</f>
        <v>0</v>
      </c>
      <c r="AF576" s="11">
        <f>IF(AQ576="2",BH576,0)</f>
        <v>0</v>
      </c>
      <c r="AG576" s="11">
        <f>IF(AQ576="2",BI576,0)</f>
        <v>0</v>
      </c>
      <c r="AH576" s="11">
        <f>IF(AQ576="0",BJ576,0)</f>
        <v>0</v>
      </c>
      <c r="AI576" s="26" t="s">
        <v>79</v>
      </c>
      <c r="AJ576" s="20">
        <f>IF(AN576=0,K576,0)</f>
        <v>0</v>
      </c>
      <c r="AK576" s="20">
        <f>IF(AN576=15,K576,0)</f>
        <v>0</v>
      </c>
      <c r="AL576" s="20">
        <f>IF(AN576=21,K576,0)</f>
        <v>0</v>
      </c>
      <c r="AN576" s="11">
        <v>21</v>
      </c>
      <c r="AO576" s="11">
        <f>H576*0</f>
        <v>0</v>
      </c>
      <c r="AP576" s="11">
        <f>H576*(1-0)</f>
        <v>0</v>
      </c>
      <c r="AQ576" s="27" t="s">
        <v>144</v>
      </c>
      <c r="AV576" s="11">
        <f>AW576+AX576</f>
        <v>0</v>
      </c>
      <c r="AW576" s="11">
        <f>G576*AO576</f>
        <v>0</v>
      </c>
      <c r="AX576" s="11">
        <f>G576*AP576</f>
        <v>0</v>
      </c>
      <c r="AY576" s="29" t="s">
        <v>1082</v>
      </c>
      <c r="AZ576" s="29" t="s">
        <v>1124</v>
      </c>
      <c r="BA576" s="26" t="s">
        <v>1131</v>
      </c>
      <c r="BB576" s="26" t="s">
        <v>1139</v>
      </c>
      <c r="BC576" s="11">
        <f>AW576+AX576</f>
        <v>0</v>
      </c>
      <c r="BD576" s="11">
        <f>H576/(100-BE576)*100</f>
        <v>0</v>
      </c>
      <c r="BE576" s="11">
        <v>0</v>
      </c>
      <c r="BF576" s="11">
        <f>L576</f>
        <v>1728</v>
      </c>
      <c r="BH576" s="20">
        <f>G576*AO576</f>
        <v>0</v>
      </c>
      <c r="BI576" s="20">
        <f>G576*AP576</f>
        <v>0</v>
      </c>
      <c r="BJ576" s="20">
        <f>G576*H576</f>
        <v>0</v>
      </c>
      <c r="BK576" s="20" t="s">
        <v>1164</v>
      </c>
      <c r="BL576" s="11">
        <v>725</v>
      </c>
    </row>
    <row r="577" spans="1:64" x14ac:dyDescent="0.2">
      <c r="A577" s="35"/>
      <c r="B577" s="36"/>
      <c r="C577" s="81" t="s">
        <v>856</v>
      </c>
      <c r="D577" s="36"/>
      <c r="E577" s="82" t="s">
        <v>1034</v>
      </c>
      <c r="F577" s="36"/>
      <c r="G577" s="83">
        <v>3</v>
      </c>
      <c r="H577" s="36"/>
      <c r="I577" s="36"/>
      <c r="J577" s="36"/>
      <c r="K577" s="36"/>
      <c r="L577" s="36"/>
      <c r="M577" s="35"/>
      <c r="N577" s="32"/>
    </row>
    <row r="578" spans="1:64" x14ac:dyDescent="0.2">
      <c r="A578" s="79" t="s">
        <v>322</v>
      </c>
      <c r="B578" s="79" t="s">
        <v>465</v>
      </c>
      <c r="C578" s="194" t="s">
        <v>857</v>
      </c>
      <c r="D578" s="195"/>
      <c r="E578" s="195"/>
      <c r="F578" s="79" t="s">
        <v>1052</v>
      </c>
      <c r="G578" s="80">
        <v>3</v>
      </c>
      <c r="H578" s="80">
        <v>0</v>
      </c>
      <c r="I578" s="80">
        <f>G578*AO578</f>
        <v>0</v>
      </c>
      <c r="J578" s="80">
        <f>G578*AP578</f>
        <v>0</v>
      </c>
      <c r="K578" s="80">
        <f>G578*H578</f>
        <v>0</v>
      </c>
      <c r="L578" s="80">
        <f>G578*578</f>
        <v>1734</v>
      </c>
      <c r="M578" s="94" t="s">
        <v>1066</v>
      </c>
      <c r="N578" s="32"/>
      <c r="Z578" s="11">
        <f>IF(AQ578="5",BJ578,0)</f>
        <v>0</v>
      </c>
      <c r="AB578" s="11">
        <f>IF(AQ578="1",BH578,0)</f>
        <v>0</v>
      </c>
      <c r="AC578" s="11">
        <f>IF(AQ578="1",BI578,0)</f>
        <v>0</v>
      </c>
      <c r="AD578" s="11">
        <f>IF(AQ578="7",BH578,0)</f>
        <v>0</v>
      </c>
      <c r="AE578" s="11">
        <f>IF(AQ578="7",BI578,0)</f>
        <v>0</v>
      </c>
      <c r="AF578" s="11">
        <f>IF(AQ578="2",BH578,0)</f>
        <v>0</v>
      </c>
      <c r="AG578" s="11">
        <f>IF(AQ578="2",BI578,0)</f>
        <v>0</v>
      </c>
      <c r="AH578" s="11">
        <f>IF(AQ578="0",BJ578,0)</f>
        <v>0</v>
      </c>
      <c r="AI578" s="26" t="s">
        <v>79</v>
      </c>
      <c r="AJ578" s="20">
        <f>IF(AN578=0,K578,0)</f>
        <v>0</v>
      </c>
      <c r="AK578" s="20">
        <f>IF(AN578=15,K578,0)</f>
        <v>0</v>
      </c>
      <c r="AL578" s="20">
        <f>IF(AN578=21,K578,0)</f>
        <v>0</v>
      </c>
      <c r="AN578" s="11">
        <v>21</v>
      </c>
      <c r="AO578" s="11">
        <f>H578*0</f>
        <v>0</v>
      </c>
      <c r="AP578" s="11">
        <f>H578*(1-0)</f>
        <v>0</v>
      </c>
      <c r="AQ578" s="27" t="s">
        <v>144</v>
      </c>
      <c r="AV578" s="11">
        <f>AW578+AX578</f>
        <v>0</v>
      </c>
      <c r="AW578" s="11">
        <f>G578*AO578</f>
        <v>0</v>
      </c>
      <c r="AX578" s="11">
        <f>G578*AP578</f>
        <v>0</v>
      </c>
      <c r="AY578" s="29" t="s">
        <v>1082</v>
      </c>
      <c r="AZ578" s="29" t="s">
        <v>1124</v>
      </c>
      <c r="BA578" s="26" t="s">
        <v>1131</v>
      </c>
      <c r="BB578" s="26" t="s">
        <v>1139</v>
      </c>
      <c r="BC578" s="11">
        <f>AW578+AX578</f>
        <v>0</v>
      </c>
      <c r="BD578" s="11">
        <f>H578/(100-BE578)*100</f>
        <v>0</v>
      </c>
      <c r="BE578" s="11">
        <v>0</v>
      </c>
      <c r="BF578" s="11">
        <f>L578</f>
        <v>1734</v>
      </c>
      <c r="BH578" s="20">
        <f>G578*AO578</f>
        <v>0</v>
      </c>
      <c r="BI578" s="20">
        <f>G578*AP578</f>
        <v>0</v>
      </c>
      <c r="BJ578" s="20">
        <f>G578*H578</f>
        <v>0</v>
      </c>
      <c r="BK578" s="20" t="s">
        <v>1164</v>
      </c>
      <c r="BL578" s="11">
        <v>725</v>
      </c>
    </row>
    <row r="579" spans="1:64" x14ac:dyDescent="0.2">
      <c r="A579" s="35"/>
      <c r="B579" s="36"/>
      <c r="C579" s="81" t="s">
        <v>856</v>
      </c>
      <c r="D579" s="36"/>
      <c r="E579" s="82" t="s">
        <v>1035</v>
      </c>
      <c r="F579" s="36"/>
      <c r="G579" s="83">
        <v>3</v>
      </c>
      <c r="H579" s="36"/>
      <c r="I579" s="36"/>
      <c r="J579" s="36"/>
      <c r="K579" s="36"/>
      <c r="L579" s="36"/>
      <c r="M579" s="35"/>
      <c r="N579" s="32"/>
    </row>
    <row r="580" spans="1:64" x14ac:dyDescent="0.2">
      <c r="A580" s="79" t="s">
        <v>323</v>
      </c>
      <c r="B580" s="79" t="s">
        <v>466</v>
      </c>
      <c r="C580" s="194" t="s">
        <v>858</v>
      </c>
      <c r="D580" s="195"/>
      <c r="E580" s="195"/>
      <c r="F580" s="79" t="s">
        <v>1052</v>
      </c>
      <c r="G580" s="80">
        <v>2</v>
      </c>
      <c r="H580" s="80">
        <v>0</v>
      </c>
      <c r="I580" s="80">
        <f>G580*AO580</f>
        <v>0</v>
      </c>
      <c r="J580" s="80">
        <f>G580*AP580</f>
        <v>0</v>
      </c>
      <c r="K580" s="80">
        <f>G580*H580</f>
        <v>0</v>
      </c>
      <c r="L580" s="80">
        <f>G580*580</f>
        <v>1160</v>
      </c>
      <c r="M580" s="94" t="s">
        <v>1066</v>
      </c>
      <c r="N580" s="32"/>
      <c r="Z580" s="11">
        <f>IF(AQ580="5",BJ580,0)</f>
        <v>0</v>
      </c>
      <c r="AB580" s="11">
        <f>IF(AQ580="1",BH580,0)</f>
        <v>0</v>
      </c>
      <c r="AC580" s="11">
        <f>IF(AQ580="1",BI580,0)</f>
        <v>0</v>
      </c>
      <c r="AD580" s="11">
        <f>IF(AQ580="7",BH580,0)</f>
        <v>0</v>
      </c>
      <c r="AE580" s="11">
        <f>IF(AQ580="7",BI580,0)</f>
        <v>0</v>
      </c>
      <c r="AF580" s="11">
        <f>IF(AQ580="2",BH580,0)</f>
        <v>0</v>
      </c>
      <c r="AG580" s="11">
        <f>IF(AQ580="2",BI580,0)</f>
        <v>0</v>
      </c>
      <c r="AH580" s="11">
        <f>IF(AQ580="0",BJ580,0)</f>
        <v>0</v>
      </c>
      <c r="AI580" s="26" t="s">
        <v>79</v>
      </c>
      <c r="AJ580" s="20">
        <f>IF(AN580=0,K580,0)</f>
        <v>0</v>
      </c>
      <c r="AK580" s="20">
        <f>IF(AN580=15,K580,0)</f>
        <v>0</v>
      </c>
      <c r="AL580" s="20">
        <f>IF(AN580=21,K580,0)</f>
        <v>0</v>
      </c>
      <c r="AN580" s="11">
        <v>21</v>
      </c>
      <c r="AO580" s="11">
        <f>H580*0</f>
        <v>0</v>
      </c>
      <c r="AP580" s="11">
        <f>H580*(1-0)</f>
        <v>0</v>
      </c>
      <c r="AQ580" s="27" t="s">
        <v>144</v>
      </c>
      <c r="AV580" s="11">
        <f>AW580+AX580</f>
        <v>0</v>
      </c>
      <c r="AW580" s="11">
        <f>G580*AO580</f>
        <v>0</v>
      </c>
      <c r="AX580" s="11">
        <f>G580*AP580</f>
        <v>0</v>
      </c>
      <c r="AY580" s="29" t="s">
        <v>1082</v>
      </c>
      <c r="AZ580" s="29" t="s">
        <v>1124</v>
      </c>
      <c r="BA580" s="26" t="s">
        <v>1131</v>
      </c>
      <c r="BB580" s="26" t="s">
        <v>1139</v>
      </c>
      <c r="BC580" s="11">
        <f>AW580+AX580</f>
        <v>0</v>
      </c>
      <c r="BD580" s="11">
        <f>H580/(100-BE580)*100</f>
        <v>0</v>
      </c>
      <c r="BE580" s="11">
        <v>0</v>
      </c>
      <c r="BF580" s="11">
        <f>L580</f>
        <v>1160</v>
      </c>
      <c r="BH580" s="20">
        <f>G580*AO580</f>
        <v>0</v>
      </c>
      <c r="BI580" s="20">
        <f>G580*AP580</f>
        <v>0</v>
      </c>
      <c r="BJ580" s="20">
        <f>G580*H580</f>
        <v>0</v>
      </c>
      <c r="BK580" s="20" t="s">
        <v>1164</v>
      </c>
      <c r="BL580" s="11">
        <v>725</v>
      </c>
    </row>
    <row r="581" spans="1:64" x14ac:dyDescent="0.2">
      <c r="A581" s="35"/>
      <c r="B581" s="36"/>
      <c r="C581" s="81" t="s">
        <v>138</v>
      </c>
      <c r="D581" s="36"/>
      <c r="E581" s="82" t="s">
        <v>1036</v>
      </c>
      <c r="F581" s="36"/>
      <c r="G581" s="83">
        <v>1</v>
      </c>
      <c r="H581" s="36"/>
      <c r="I581" s="36"/>
      <c r="J581" s="36"/>
      <c r="K581" s="36"/>
      <c r="L581" s="36"/>
      <c r="M581" s="35"/>
      <c r="N581" s="32"/>
    </row>
    <row r="582" spans="1:64" x14ac:dyDescent="0.2">
      <c r="A582" s="35"/>
      <c r="B582" s="36"/>
      <c r="C582" s="81" t="s">
        <v>138</v>
      </c>
      <c r="D582" s="36"/>
      <c r="E582" s="82" t="s">
        <v>1037</v>
      </c>
      <c r="F582" s="36"/>
      <c r="G582" s="83">
        <v>1</v>
      </c>
      <c r="H582" s="36"/>
      <c r="I582" s="36"/>
      <c r="J582" s="36"/>
      <c r="K582" s="36"/>
      <c r="L582" s="36"/>
      <c r="M582" s="35"/>
      <c r="N582" s="32"/>
    </row>
    <row r="583" spans="1:64" x14ac:dyDescent="0.2">
      <c r="A583" s="79" t="s">
        <v>324</v>
      </c>
      <c r="B583" s="79" t="s">
        <v>467</v>
      </c>
      <c r="C583" s="194" t="s">
        <v>859</v>
      </c>
      <c r="D583" s="195"/>
      <c r="E583" s="195"/>
      <c r="F583" s="79" t="s">
        <v>1052</v>
      </c>
      <c r="G583" s="80">
        <v>6</v>
      </c>
      <c r="H583" s="80">
        <v>0</v>
      </c>
      <c r="I583" s="80">
        <f>G583*AO583</f>
        <v>0</v>
      </c>
      <c r="J583" s="80">
        <f>G583*AP583</f>
        <v>0</v>
      </c>
      <c r="K583" s="80">
        <f>G583*H583</f>
        <v>0</v>
      </c>
      <c r="L583" s="80">
        <f>G583*583</f>
        <v>3498</v>
      </c>
      <c r="M583" s="94" t="s">
        <v>1067</v>
      </c>
      <c r="N583" s="32"/>
      <c r="Z583" s="11">
        <f>IF(AQ583="5",BJ583,0)</f>
        <v>0</v>
      </c>
      <c r="AB583" s="11">
        <f>IF(AQ583="1",BH583,0)</f>
        <v>0</v>
      </c>
      <c r="AC583" s="11">
        <f>IF(AQ583="1",BI583,0)</f>
        <v>0</v>
      </c>
      <c r="AD583" s="11">
        <f>IF(AQ583="7",BH583,0)</f>
        <v>0</v>
      </c>
      <c r="AE583" s="11">
        <f>IF(AQ583="7",BI583,0)</f>
        <v>0</v>
      </c>
      <c r="AF583" s="11">
        <f>IF(AQ583="2",BH583,0)</f>
        <v>0</v>
      </c>
      <c r="AG583" s="11">
        <f>IF(AQ583="2",BI583,0)</f>
        <v>0</v>
      </c>
      <c r="AH583" s="11">
        <f>IF(AQ583="0",BJ583,0)</f>
        <v>0</v>
      </c>
      <c r="AI583" s="26" t="s">
        <v>79</v>
      </c>
      <c r="AJ583" s="20">
        <f>IF(AN583=0,K583,0)</f>
        <v>0</v>
      </c>
      <c r="AK583" s="20">
        <f>IF(AN583=15,K583,0)</f>
        <v>0</v>
      </c>
      <c r="AL583" s="20">
        <f>IF(AN583=21,K583,0)</f>
        <v>0</v>
      </c>
      <c r="AN583" s="11">
        <v>21</v>
      </c>
      <c r="AO583" s="11">
        <f>H583*0</f>
        <v>0</v>
      </c>
      <c r="AP583" s="11">
        <f>H583*(1-0)</f>
        <v>0</v>
      </c>
      <c r="AQ583" s="27" t="s">
        <v>144</v>
      </c>
      <c r="AV583" s="11">
        <f>AW583+AX583</f>
        <v>0</v>
      </c>
      <c r="AW583" s="11">
        <f>G583*AO583</f>
        <v>0</v>
      </c>
      <c r="AX583" s="11">
        <f>G583*AP583</f>
        <v>0</v>
      </c>
      <c r="AY583" s="29" t="s">
        <v>1082</v>
      </c>
      <c r="AZ583" s="29" t="s">
        <v>1124</v>
      </c>
      <c r="BA583" s="26" t="s">
        <v>1131</v>
      </c>
      <c r="BB583" s="26" t="s">
        <v>1139</v>
      </c>
      <c r="BC583" s="11">
        <f>AW583+AX583</f>
        <v>0</v>
      </c>
      <c r="BD583" s="11">
        <f>H583/(100-BE583)*100</f>
        <v>0</v>
      </c>
      <c r="BE583" s="11">
        <v>0</v>
      </c>
      <c r="BF583" s="11">
        <f>L583</f>
        <v>3498</v>
      </c>
      <c r="BH583" s="20">
        <f>G583*AO583</f>
        <v>0</v>
      </c>
      <c r="BI583" s="20">
        <f>G583*AP583</f>
        <v>0</v>
      </c>
      <c r="BJ583" s="20">
        <f>G583*H583</f>
        <v>0</v>
      </c>
      <c r="BK583" s="20" t="s">
        <v>1164</v>
      </c>
      <c r="BL583" s="11">
        <v>725</v>
      </c>
    </row>
    <row r="584" spans="1:64" x14ac:dyDescent="0.2">
      <c r="A584" s="35"/>
      <c r="B584" s="86" t="s">
        <v>354</v>
      </c>
      <c r="C584" s="196" t="s">
        <v>860</v>
      </c>
      <c r="D584" s="197"/>
      <c r="E584" s="197"/>
      <c r="F584" s="197"/>
      <c r="G584" s="197"/>
      <c r="H584" s="197"/>
      <c r="I584" s="197"/>
      <c r="J584" s="197"/>
      <c r="K584" s="197"/>
      <c r="L584" s="197"/>
      <c r="M584" s="197"/>
      <c r="N584" s="32"/>
    </row>
    <row r="585" spans="1:64" x14ac:dyDescent="0.2">
      <c r="A585" s="35"/>
      <c r="B585" s="36"/>
      <c r="C585" s="81" t="s">
        <v>143</v>
      </c>
      <c r="D585" s="36"/>
      <c r="E585" s="82" t="s">
        <v>1024</v>
      </c>
      <c r="F585" s="36"/>
      <c r="G585" s="83">
        <v>6</v>
      </c>
      <c r="H585" s="36"/>
      <c r="I585" s="36"/>
      <c r="J585" s="36"/>
      <c r="K585" s="36"/>
      <c r="L585" s="36"/>
      <c r="M585" s="35"/>
      <c r="N585" s="32"/>
    </row>
    <row r="586" spans="1:64" x14ac:dyDescent="0.2">
      <c r="A586" s="79" t="s">
        <v>325</v>
      </c>
      <c r="B586" s="79" t="s">
        <v>468</v>
      </c>
      <c r="C586" s="194" t="s">
        <v>861</v>
      </c>
      <c r="D586" s="195"/>
      <c r="E586" s="195"/>
      <c r="F586" s="79" t="s">
        <v>1047</v>
      </c>
      <c r="G586" s="80">
        <v>7</v>
      </c>
      <c r="H586" s="80">
        <v>0</v>
      </c>
      <c r="I586" s="80">
        <f>G586*AO586</f>
        <v>0</v>
      </c>
      <c r="J586" s="80">
        <f>G586*AP586</f>
        <v>0</v>
      </c>
      <c r="K586" s="80">
        <f>G586*H586</f>
        <v>0</v>
      </c>
      <c r="L586" s="80">
        <f>G586*586</f>
        <v>4102</v>
      </c>
      <c r="M586" s="94" t="s">
        <v>1066</v>
      </c>
      <c r="N586" s="32"/>
      <c r="Z586" s="11">
        <f>IF(AQ586="5",BJ586,0)</f>
        <v>0</v>
      </c>
      <c r="AB586" s="11">
        <f>IF(AQ586="1",BH586,0)</f>
        <v>0</v>
      </c>
      <c r="AC586" s="11">
        <f>IF(AQ586="1",BI586,0)</f>
        <v>0</v>
      </c>
      <c r="AD586" s="11">
        <f>IF(AQ586="7",BH586,0)</f>
        <v>0</v>
      </c>
      <c r="AE586" s="11">
        <f>IF(AQ586="7",BI586,0)</f>
        <v>0</v>
      </c>
      <c r="AF586" s="11">
        <f>IF(AQ586="2",BH586,0)</f>
        <v>0</v>
      </c>
      <c r="AG586" s="11">
        <f>IF(AQ586="2",BI586,0)</f>
        <v>0</v>
      </c>
      <c r="AH586" s="11">
        <f>IF(AQ586="0",BJ586,0)</f>
        <v>0</v>
      </c>
      <c r="AI586" s="26" t="s">
        <v>79</v>
      </c>
      <c r="AJ586" s="20">
        <f>IF(AN586=0,K586,0)</f>
        <v>0</v>
      </c>
      <c r="AK586" s="20">
        <f>IF(AN586=15,K586,0)</f>
        <v>0</v>
      </c>
      <c r="AL586" s="20">
        <f>IF(AN586=21,K586,0)</f>
        <v>0</v>
      </c>
      <c r="AN586" s="11">
        <v>21</v>
      </c>
      <c r="AO586" s="11">
        <f>H586*0</f>
        <v>0</v>
      </c>
      <c r="AP586" s="11">
        <f>H586*(1-0)</f>
        <v>0</v>
      </c>
      <c r="AQ586" s="27" t="s">
        <v>144</v>
      </c>
      <c r="AV586" s="11">
        <f>AW586+AX586</f>
        <v>0</v>
      </c>
      <c r="AW586" s="11">
        <f>G586*AO586</f>
        <v>0</v>
      </c>
      <c r="AX586" s="11">
        <f>G586*AP586</f>
        <v>0</v>
      </c>
      <c r="AY586" s="29" t="s">
        <v>1082</v>
      </c>
      <c r="AZ586" s="29" t="s">
        <v>1124</v>
      </c>
      <c r="BA586" s="26" t="s">
        <v>1131</v>
      </c>
      <c r="BB586" s="26" t="s">
        <v>1139</v>
      </c>
      <c r="BC586" s="11">
        <f>AW586+AX586</f>
        <v>0</v>
      </c>
      <c r="BD586" s="11">
        <f>H586/(100-BE586)*100</f>
        <v>0</v>
      </c>
      <c r="BE586" s="11">
        <v>0</v>
      </c>
      <c r="BF586" s="11">
        <f>L586</f>
        <v>4102</v>
      </c>
      <c r="BH586" s="20">
        <f>G586*AO586</f>
        <v>0</v>
      </c>
      <c r="BI586" s="20">
        <f>G586*AP586</f>
        <v>0</v>
      </c>
      <c r="BJ586" s="20">
        <f>G586*H586</f>
        <v>0</v>
      </c>
      <c r="BK586" s="20" t="s">
        <v>1164</v>
      </c>
      <c r="BL586" s="11">
        <v>725</v>
      </c>
    </row>
    <row r="587" spans="1:64" x14ac:dyDescent="0.2">
      <c r="A587" s="35"/>
      <c r="B587" s="36"/>
      <c r="C587" s="81" t="s">
        <v>144</v>
      </c>
      <c r="D587" s="36"/>
      <c r="E587" s="82" t="s">
        <v>1024</v>
      </c>
      <c r="F587" s="36"/>
      <c r="G587" s="83">
        <v>7</v>
      </c>
      <c r="H587" s="36"/>
      <c r="I587" s="36"/>
      <c r="J587" s="36"/>
      <c r="K587" s="36"/>
      <c r="L587" s="36"/>
      <c r="M587" s="35"/>
      <c r="N587" s="32"/>
    </row>
    <row r="588" spans="1:64" x14ac:dyDescent="0.2">
      <c r="A588" s="79" t="s">
        <v>326</v>
      </c>
      <c r="B588" s="79" t="s">
        <v>469</v>
      </c>
      <c r="C588" s="194" t="s">
        <v>862</v>
      </c>
      <c r="D588" s="195"/>
      <c r="E588" s="195"/>
      <c r="F588" s="79" t="s">
        <v>1052</v>
      </c>
      <c r="G588" s="80">
        <v>2</v>
      </c>
      <c r="H588" s="80">
        <v>0</v>
      </c>
      <c r="I588" s="80">
        <f>G588*AO588</f>
        <v>0</v>
      </c>
      <c r="J588" s="80">
        <f>G588*AP588</f>
        <v>0</v>
      </c>
      <c r="K588" s="80">
        <f>G588*H588</f>
        <v>0</v>
      </c>
      <c r="L588" s="80">
        <f>G588*588</f>
        <v>1176</v>
      </c>
      <c r="M588" s="94" t="s">
        <v>1066</v>
      </c>
      <c r="N588" s="32"/>
      <c r="Z588" s="11">
        <f>IF(AQ588="5",BJ588,0)</f>
        <v>0</v>
      </c>
      <c r="AB588" s="11">
        <f>IF(AQ588="1",BH588,0)</f>
        <v>0</v>
      </c>
      <c r="AC588" s="11">
        <f>IF(AQ588="1",BI588,0)</f>
        <v>0</v>
      </c>
      <c r="AD588" s="11">
        <f>IF(AQ588="7",BH588,0)</f>
        <v>0</v>
      </c>
      <c r="AE588" s="11">
        <f>IF(AQ588="7",BI588,0)</f>
        <v>0</v>
      </c>
      <c r="AF588" s="11">
        <f>IF(AQ588="2",BH588,0)</f>
        <v>0</v>
      </c>
      <c r="AG588" s="11">
        <f>IF(AQ588="2",BI588,0)</f>
        <v>0</v>
      </c>
      <c r="AH588" s="11">
        <f>IF(AQ588="0",BJ588,0)</f>
        <v>0</v>
      </c>
      <c r="AI588" s="26" t="s">
        <v>79</v>
      </c>
      <c r="AJ588" s="20">
        <f>IF(AN588=0,K588,0)</f>
        <v>0</v>
      </c>
      <c r="AK588" s="20">
        <f>IF(AN588=15,K588,0)</f>
        <v>0</v>
      </c>
      <c r="AL588" s="20">
        <f>IF(AN588=21,K588,0)</f>
        <v>0</v>
      </c>
      <c r="AN588" s="11">
        <v>21</v>
      </c>
      <c r="AO588" s="11">
        <f>H588*0.760536398467433</f>
        <v>0</v>
      </c>
      <c r="AP588" s="11">
        <f>H588*(1-0.760536398467433)</f>
        <v>0</v>
      </c>
      <c r="AQ588" s="27" t="s">
        <v>144</v>
      </c>
      <c r="AV588" s="11">
        <f>AW588+AX588</f>
        <v>0</v>
      </c>
      <c r="AW588" s="11">
        <f>G588*AO588</f>
        <v>0</v>
      </c>
      <c r="AX588" s="11">
        <f>G588*AP588</f>
        <v>0</v>
      </c>
      <c r="AY588" s="29" t="s">
        <v>1082</v>
      </c>
      <c r="AZ588" s="29" t="s">
        <v>1124</v>
      </c>
      <c r="BA588" s="26" t="s">
        <v>1131</v>
      </c>
      <c r="BB588" s="26" t="s">
        <v>1139</v>
      </c>
      <c r="BC588" s="11">
        <f>AW588+AX588</f>
        <v>0</v>
      </c>
      <c r="BD588" s="11">
        <f>H588/(100-BE588)*100</f>
        <v>0</v>
      </c>
      <c r="BE588" s="11">
        <v>0</v>
      </c>
      <c r="BF588" s="11">
        <f>L588</f>
        <v>1176</v>
      </c>
      <c r="BH588" s="20">
        <f>G588*AO588</f>
        <v>0</v>
      </c>
      <c r="BI588" s="20">
        <f>G588*AP588</f>
        <v>0</v>
      </c>
      <c r="BJ588" s="20">
        <f>G588*H588</f>
        <v>0</v>
      </c>
      <c r="BK588" s="20" t="s">
        <v>1164</v>
      </c>
      <c r="BL588" s="11">
        <v>725</v>
      </c>
    </row>
    <row r="589" spans="1:64" x14ac:dyDescent="0.2">
      <c r="A589" s="35"/>
      <c r="B589" s="36"/>
      <c r="C589" s="81" t="s">
        <v>139</v>
      </c>
      <c r="D589" s="36"/>
      <c r="E589" s="82" t="s">
        <v>1038</v>
      </c>
      <c r="F589" s="36"/>
      <c r="G589" s="83">
        <v>2</v>
      </c>
      <c r="H589" s="36"/>
      <c r="I589" s="36"/>
      <c r="J589" s="36"/>
      <c r="K589" s="36"/>
      <c r="L589" s="36"/>
      <c r="M589" s="35"/>
      <c r="N589" s="32"/>
    </row>
    <row r="590" spans="1:64" x14ac:dyDescent="0.2">
      <c r="A590" s="79" t="s">
        <v>327</v>
      </c>
      <c r="B590" s="79" t="s">
        <v>470</v>
      </c>
      <c r="C590" s="194" t="s">
        <v>863</v>
      </c>
      <c r="D590" s="195"/>
      <c r="E590" s="195"/>
      <c r="F590" s="79" t="s">
        <v>1047</v>
      </c>
      <c r="G590" s="80">
        <v>1</v>
      </c>
      <c r="H590" s="80">
        <v>0</v>
      </c>
      <c r="I590" s="80">
        <f>G590*AO590</f>
        <v>0</v>
      </c>
      <c r="J590" s="80">
        <f>G590*AP590</f>
        <v>0</v>
      </c>
      <c r="K590" s="80">
        <f>G590*H590</f>
        <v>0</v>
      </c>
      <c r="L590" s="80">
        <f>G590*590</f>
        <v>590</v>
      </c>
      <c r="M590" s="94" t="s">
        <v>1066</v>
      </c>
      <c r="N590" s="32"/>
      <c r="Z590" s="11">
        <f>IF(AQ590="5",BJ590,0)</f>
        <v>0</v>
      </c>
      <c r="AB590" s="11">
        <f>IF(AQ590="1",BH590,0)</f>
        <v>0</v>
      </c>
      <c r="AC590" s="11">
        <f>IF(AQ590="1",BI590,0)</f>
        <v>0</v>
      </c>
      <c r="AD590" s="11">
        <f>IF(AQ590="7",BH590,0)</f>
        <v>0</v>
      </c>
      <c r="AE590" s="11">
        <f>IF(AQ590="7",BI590,0)</f>
        <v>0</v>
      </c>
      <c r="AF590" s="11">
        <f>IF(AQ590="2",BH590,0)</f>
        <v>0</v>
      </c>
      <c r="AG590" s="11">
        <f>IF(AQ590="2",BI590,0)</f>
        <v>0</v>
      </c>
      <c r="AH590" s="11">
        <f>IF(AQ590="0",BJ590,0)</f>
        <v>0</v>
      </c>
      <c r="AI590" s="26" t="s">
        <v>79</v>
      </c>
      <c r="AJ590" s="20">
        <f>IF(AN590=0,K590,0)</f>
        <v>0</v>
      </c>
      <c r="AK590" s="20">
        <f>IF(AN590=15,K590,0)</f>
        <v>0</v>
      </c>
      <c r="AL590" s="20">
        <f>IF(AN590=21,K590,0)</f>
        <v>0</v>
      </c>
      <c r="AN590" s="11">
        <v>21</v>
      </c>
      <c r="AO590" s="11">
        <f>H590*0.897336384439359</f>
        <v>0</v>
      </c>
      <c r="AP590" s="11">
        <f>H590*(1-0.897336384439359)</f>
        <v>0</v>
      </c>
      <c r="AQ590" s="27" t="s">
        <v>144</v>
      </c>
      <c r="AV590" s="11">
        <f>AW590+AX590</f>
        <v>0</v>
      </c>
      <c r="AW590" s="11">
        <f>G590*AO590</f>
        <v>0</v>
      </c>
      <c r="AX590" s="11">
        <f>G590*AP590</f>
        <v>0</v>
      </c>
      <c r="AY590" s="29" t="s">
        <v>1082</v>
      </c>
      <c r="AZ590" s="29" t="s">
        <v>1124</v>
      </c>
      <c r="BA590" s="26" t="s">
        <v>1131</v>
      </c>
      <c r="BB590" s="26" t="s">
        <v>1139</v>
      </c>
      <c r="BC590" s="11">
        <f>AW590+AX590</f>
        <v>0</v>
      </c>
      <c r="BD590" s="11">
        <f>H590/(100-BE590)*100</f>
        <v>0</v>
      </c>
      <c r="BE590" s="11">
        <v>0</v>
      </c>
      <c r="BF590" s="11">
        <f>L590</f>
        <v>590</v>
      </c>
      <c r="BH590" s="20">
        <f>G590*AO590</f>
        <v>0</v>
      </c>
      <c r="BI590" s="20">
        <f>G590*AP590</f>
        <v>0</v>
      </c>
      <c r="BJ590" s="20">
        <f>G590*H590</f>
        <v>0</v>
      </c>
      <c r="BK590" s="20" t="s">
        <v>1164</v>
      </c>
      <c r="BL590" s="11">
        <v>725</v>
      </c>
    </row>
    <row r="591" spans="1:64" x14ac:dyDescent="0.2">
      <c r="A591" s="35"/>
      <c r="B591" s="86" t="s">
        <v>354</v>
      </c>
      <c r="C591" s="196" t="s">
        <v>864</v>
      </c>
      <c r="D591" s="197"/>
      <c r="E591" s="197"/>
      <c r="F591" s="197"/>
      <c r="G591" s="197"/>
      <c r="H591" s="197"/>
      <c r="I591" s="197"/>
      <c r="J591" s="197"/>
      <c r="K591" s="197"/>
      <c r="L591" s="197"/>
      <c r="M591" s="197"/>
      <c r="N591" s="32"/>
    </row>
    <row r="592" spans="1:64" x14ac:dyDescent="0.2">
      <c r="A592" s="35"/>
      <c r="B592" s="36"/>
      <c r="C592" s="81" t="s">
        <v>138</v>
      </c>
      <c r="D592" s="36"/>
      <c r="E592" s="82" t="s">
        <v>1039</v>
      </c>
      <c r="F592" s="36"/>
      <c r="G592" s="83">
        <v>1</v>
      </c>
      <c r="H592" s="36"/>
      <c r="I592" s="36"/>
      <c r="J592" s="36"/>
      <c r="K592" s="36"/>
      <c r="L592" s="36"/>
      <c r="M592" s="35"/>
      <c r="N592" s="32"/>
    </row>
    <row r="593" spans="1:64" x14ac:dyDescent="0.2">
      <c r="A593" s="79" t="s">
        <v>328</v>
      </c>
      <c r="B593" s="79" t="s">
        <v>471</v>
      </c>
      <c r="C593" s="194" t="s">
        <v>865</v>
      </c>
      <c r="D593" s="195"/>
      <c r="E593" s="195"/>
      <c r="F593" s="79" t="s">
        <v>1047</v>
      </c>
      <c r="G593" s="80">
        <v>1</v>
      </c>
      <c r="H593" s="80">
        <v>0</v>
      </c>
      <c r="I593" s="80">
        <f>G593*AO593</f>
        <v>0</v>
      </c>
      <c r="J593" s="80">
        <f>G593*AP593</f>
        <v>0</v>
      </c>
      <c r="K593" s="80">
        <f>G593*H593</f>
        <v>0</v>
      </c>
      <c r="L593" s="80">
        <f>G593*593</f>
        <v>593</v>
      </c>
      <c r="M593" s="94" t="s">
        <v>1066</v>
      </c>
      <c r="N593" s="32"/>
      <c r="Z593" s="11">
        <f>IF(AQ593="5",BJ593,0)</f>
        <v>0</v>
      </c>
      <c r="AB593" s="11">
        <f>IF(AQ593="1",BH593,0)</f>
        <v>0</v>
      </c>
      <c r="AC593" s="11">
        <f>IF(AQ593="1",BI593,0)</f>
        <v>0</v>
      </c>
      <c r="AD593" s="11">
        <f>IF(AQ593="7",BH593,0)</f>
        <v>0</v>
      </c>
      <c r="AE593" s="11">
        <f>IF(AQ593="7",BI593,0)</f>
        <v>0</v>
      </c>
      <c r="AF593" s="11">
        <f>IF(AQ593="2",BH593,0)</f>
        <v>0</v>
      </c>
      <c r="AG593" s="11">
        <f>IF(AQ593="2",BI593,0)</f>
        <v>0</v>
      </c>
      <c r="AH593" s="11">
        <f>IF(AQ593="0",BJ593,0)</f>
        <v>0</v>
      </c>
      <c r="AI593" s="26" t="s">
        <v>79</v>
      </c>
      <c r="AJ593" s="20">
        <f>IF(AN593=0,K593,0)</f>
        <v>0</v>
      </c>
      <c r="AK593" s="20">
        <f>IF(AN593=15,K593,0)</f>
        <v>0</v>
      </c>
      <c r="AL593" s="20">
        <f>IF(AN593=21,K593,0)</f>
        <v>0</v>
      </c>
      <c r="AN593" s="11">
        <v>21</v>
      </c>
      <c r="AO593" s="11">
        <f>H593*0.905344794259544</f>
        <v>0</v>
      </c>
      <c r="AP593" s="11">
        <f>H593*(1-0.905344794259544)</f>
        <v>0</v>
      </c>
      <c r="AQ593" s="27" t="s">
        <v>144</v>
      </c>
      <c r="AV593" s="11">
        <f>AW593+AX593</f>
        <v>0</v>
      </c>
      <c r="AW593" s="11">
        <f>G593*AO593</f>
        <v>0</v>
      </c>
      <c r="AX593" s="11">
        <f>G593*AP593</f>
        <v>0</v>
      </c>
      <c r="AY593" s="29" t="s">
        <v>1082</v>
      </c>
      <c r="AZ593" s="29" t="s">
        <v>1124</v>
      </c>
      <c r="BA593" s="26" t="s">
        <v>1131</v>
      </c>
      <c r="BB593" s="26" t="s">
        <v>1139</v>
      </c>
      <c r="BC593" s="11">
        <f>AW593+AX593</f>
        <v>0</v>
      </c>
      <c r="BD593" s="11">
        <f>H593/(100-BE593)*100</f>
        <v>0</v>
      </c>
      <c r="BE593" s="11">
        <v>0</v>
      </c>
      <c r="BF593" s="11">
        <f>L593</f>
        <v>593</v>
      </c>
      <c r="BH593" s="20">
        <f>G593*AO593</f>
        <v>0</v>
      </c>
      <c r="BI593" s="20">
        <f>G593*AP593</f>
        <v>0</v>
      </c>
      <c r="BJ593" s="20">
        <f>G593*H593</f>
        <v>0</v>
      </c>
      <c r="BK593" s="20" t="s">
        <v>1164</v>
      </c>
      <c r="BL593" s="11">
        <v>725</v>
      </c>
    </row>
    <row r="594" spans="1:64" x14ac:dyDescent="0.2">
      <c r="A594" s="35"/>
      <c r="B594" s="86" t="s">
        <v>354</v>
      </c>
      <c r="C594" s="196" t="s">
        <v>866</v>
      </c>
      <c r="D594" s="197"/>
      <c r="E594" s="197"/>
      <c r="F594" s="197"/>
      <c r="G594" s="197"/>
      <c r="H594" s="197"/>
      <c r="I594" s="197"/>
      <c r="J594" s="197"/>
      <c r="K594" s="197"/>
      <c r="L594" s="197"/>
      <c r="M594" s="197"/>
      <c r="N594" s="32"/>
    </row>
    <row r="595" spans="1:64" x14ac:dyDescent="0.2">
      <c r="A595" s="35"/>
      <c r="B595" s="36"/>
      <c r="C595" s="81" t="s">
        <v>138</v>
      </c>
      <c r="D595" s="36"/>
      <c r="E595" s="82" t="s">
        <v>1040</v>
      </c>
      <c r="F595" s="36"/>
      <c r="G595" s="83">
        <v>1</v>
      </c>
      <c r="H595" s="36"/>
      <c r="I595" s="36"/>
      <c r="J595" s="36"/>
      <c r="K595" s="36"/>
      <c r="L595" s="36"/>
      <c r="M595" s="35"/>
      <c r="N595" s="32"/>
    </row>
    <row r="596" spans="1:64" x14ac:dyDescent="0.2">
      <c r="A596" s="79" t="s">
        <v>329</v>
      </c>
      <c r="B596" s="79" t="s">
        <v>472</v>
      </c>
      <c r="C596" s="194" t="s">
        <v>867</v>
      </c>
      <c r="D596" s="195"/>
      <c r="E596" s="195"/>
      <c r="F596" s="79" t="s">
        <v>1052</v>
      </c>
      <c r="G596" s="80">
        <v>1</v>
      </c>
      <c r="H596" s="80">
        <v>0</v>
      </c>
      <c r="I596" s="80">
        <f>G596*AO596</f>
        <v>0</v>
      </c>
      <c r="J596" s="80">
        <f>G596*AP596</f>
        <v>0</v>
      </c>
      <c r="K596" s="80">
        <f>G596*H596</f>
        <v>0</v>
      </c>
      <c r="L596" s="80">
        <f>G596*596</f>
        <v>596</v>
      </c>
      <c r="M596" s="94" t="s">
        <v>1066</v>
      </c>
      <c r="N596" s="32"/>
      <c r="Z596" s="11">
        <f>IF(AQ596="5",BJ596,0)</f>
        <v>0</v>
      </c>
      <c r="AB596" s="11">
        <f>IF(AQ596="1",BH596,0)</f>
        <v>0</v>
      </c>
      <c r="AC596" s="11">
        <f>IF(AQ596="1",BI596,0)</f>
        <v>0</v>
      </c>
      <c r="AD596" s="11">
        <f>IF(AQ596="7",BH596,0)</f>
        <v>0</v>
      </c>
      <c r="AE596" s="11">
        <f>IF(AQ596="7",BI596,0)</f>
        <v>0</v>
      </c>
      <c r="AF596" s="11">
        <f>IF(AQ596="2",BH596,0)</f>
        <v>0</v>
      </c>
      <c r="AG596" s="11">
        <f>IF(AQ596="2",BI596,0)</f>
        <v>0</v>
      </c>
      <c r="AH596" s="11">
        <f>IF(AQ596="0",BJ596,0)</f>
        <v>0</v>
      </c>
      <c r="AI596" s="26" t="s">
        <v>79</v>
      </c>
      <c r="AJ596" s="20">
        <f>IF(AN596=0,K596,0)</f>
        <v>0</v>
      </c>
      <c r="AK596" s="20">
        <f>IF(AN596=15,K596,0)</f>
        <v>0</v>
      </c>
      <c r="AL596" s="20">
        <f>IF(AN596=21,K596,0)</f>
        <v>0</v>
      </c>
      <c r="AN596" s="11">
        <v>21</v>
      </c>
      <c r="AO596" s="11">
        <f>H596*0.88182159484705</f>
        <v>0</v>
      </c>
      <c r="AP596" s="11">
        <f>H596*(1-0.88182159484705)</f>
        <v>0</v>
      </c>
      <c r="AQ596" s="27" t="s">
        <v>144</v>
      </c>
      <c r="AV596" s="11">
        <f>AW596+AX596</f>
        <v>0</v>
      </c>
      <c r="AW596" s="11">
        <f>G596*AO596</f>
        <v>0</v>
      </c>
      <c r="AX596" s="11">
        <f>G596*AP596</f>
        <v>0</v>
      </c>
      <c r="AY596" s="29" t="s">
        <v>1082</v>
      </c>
      <c r="AZ596" s="29" t="s">
        <v>1124</v>
      </c>
      <c r="BA596" s="26" t="s">
        <v>1131</v>
      </c>
      <c r="BB596" s="26" t="s">
        <v>1139</v>
      </c>
      <c r="BC596" s="11">
        <f>AW596+AX596</f>
        <v>0</v>
      </c>
      <c r="BD596" s="11">
        <f>H596/(100-BE596)*100</f>
        <v>0</v>
      </c>
      <c r="BE596" s="11">
        <v>0</v>
      </c>
      <c r="BF596" s="11">
        <f>L596</f>
        <v>596</v>
      </c>
      <c r="BH596" s="20">
        <f>G596*AO596</f>
        <v>0</v>
      </c>
      <c r="BI596" s="20">
        <f>G596*AP596</f>
        <v>0</v>
      </c>
      <c r="BJ596" s="20">
        <f>G596*H596</f>
        <v>0</v>
      </c>
      <c r="BK596" s="20" t="s">
        <v>1164</v>
      </c>
      <c r="BL596" s="11">
        <v>725</v>
      </c>
    </row>
    <row r="597" spans="1:64" x14ac:dyDescent="0.2">
      <c r="A597" s="35"/>
      <c r="B597" s="36"/>
      <c r="C597" s="81" t="s">
        <v>138</v>
      </c>
      <c r="D597" s="36"/>
      <c r="E597" s="82" t="s">
        <v>1041</v>
      </c>
      <c r="F597" s="36"/>
      <c r="G597" s="83">
        <v>1</v>
      </c>
      <c r="H597" s="36"/>
      <c r="I597" s="36"/>
      <c r="J597" s="36"/>
      <c r="K597" s="36"/>
      <c r="L597" s="36"/>
      <c r="M597" s="35"/>
      <c r="N597" s="32"/>
    </row>
    <row r="598" spans="1:64" x14ac:dyDescent="0.2">
      <c r="A598" s="77"/>
      <c r="B598" s="76" t="s">
        <v>105</v>
      </c>
      <c r="C598" s="204" t="s">
        <v>130</v>
      </c>
      <c r="D598" s="205"/>
      <c r="E598" s="205"/>
      <c r="F598" s="77" t="s">
        <v>60</v>
      </c>
      <c r="G598" s="77" t="s">
        <v>60</v>
      </c>
      <c r="H598" s="77" t="s">
        <v>60</v>
      </c>
      <c r="I598" s="78">
        <f>SUM(I599:I603)</f>
        <v>0</v>
      </c>
      <c r="J598" s="78">
        <f>SUM(J599:J603)</f>
        <v>0</v>
      </c>
      <c r="K598" s="78">
        <f>SUM(K599:K603)</f>
        <v>0</v>
      </c>
      <c r="L598" s="78">
        <f>SUM(L599:L603)</f>
        <v>8422</v>
      </c>
      <c r="M598" s="93"/>
      <c r="N598" s="32"/>
      <c r="AI598" s="26" t="s">
        <v>79</v>
      </c>
      <c r="AS598" s="31">
        <f>SUM(AJ599:AJ603)</f>
        <v>0</v>
      </c>
      <c r="AT598" s="31">
        <f>SUM(AK599:AK603)</f>
        <v>0</v>
      </c>
      <c r="AU598" s="31">
        <f>SUM(AL599:AL603)</f>
        <v>0</v>
      </c>
    </row>
    <row r="599" spans="1:64" x14ac:dyDescent="0.2">
      <c r="A599" s="79" t="s">
        <v>330</v>
      </c>
      <c r="B599" s="79" t="s">
        <v>473</v>
      </c>
      <c r="C599" s="194" t="s">
        <v>868</v>
      </c>
      <c r="D599" s="195"/>
      <c r="E599" s="195"/>
      <c r="F599" s="79" t="s">
        <v>1047</v>
      </c>
      <c r="G599" s="80">
        <v>2</v>
      </c>
      <c r="H599" s="80">
        <v>0</v>
      </c>
      <c r="I599" s="80">
        <f>G599*AO599</f>
        <v>0</v>
      </c>
      <c r="J599" s="80">
        <f>G599*AP599</f>
        <v>0</v>
      </c>
      <c r="K599" s="80">
        <f>G599*H599</f>
        <v>0</v>
      </c>
      <c r="L599" s="80">
        <f>G599*599</f>
        <v>1198</v>
      </c>
      <c r="M599" s="94" t="s">
        <v>1066</v>
      </c>
      <c r="N599" s="32"/>
      <c r="Z599" s="11">
        <f>IF(AQ599="5",BJ599,0)</f>
        <v>0</v>
      </c>
      <c r="AB599" s="11">
        <f>IF(AQ599="1",BH599,0)</f>
        <v>0</v>
      </c>
      <c r="AC599" s="11">
        <f>IF(AQ599="1",BI599,0)</f>
        <v>0</v>
      </c>
      <c r="AD599" s="11">
        <f>IF(AQ599="7",BH599,0)</f>
        <v>0</v>
      </c>
      <c r="AE599" s="11">
        <f>IF(AQ599="7",BI599,0)</f>
        <v>0</v>
      </c>
      <c r="AF599" s="11">
        <f>IF(AQ599="2",BH599,0)</f>
        <v>0</v>
      </c>
      <c r="AG599" s="11">
        <f>IF(AQ599="2",BI599,0)</f>
        <v>0</v>
      </c>
      <c r="AH599" s="11">
        <f>IF(AQ599="0",BJ599,0)</f>
        <v>0</v>
      </c>
      <c r="AI599" s="26" t="s">
        <v>79</v>
      </c>
      <c r="AJ599" s="20">
        <f>IF(AN599=0,K599,0)</f>
        <v>0</v>
      </c>
      <c r="AK599" s="20">
        <f>IF(AN599=15,K599,0)</f>
        <v>0</v>
      </c>
      <c r="AL599" s="20">
        <f>IF(AN599=21,K599,0)</f>
        <v>0</v>
      </c>
      <c r="AN599" s="11">
        <v>21</v>
      </c>
      <c r="AO599" s="11">
        <f>H599*0.107692307692308</f>
        <v>0</v>
      </c>
      <c r="AP599" s="11">
        <f>H599*(1-0.107692307692308)</f>
        <v>0</v>
      </c>
      <c r="AQ599" s="27" t="s">
        <v>144</v>
      </c>
      <c r="AV599" s="11">
        <f>AW599+AX599</f>
        <v>0</v>
      </c>
      <c r="AW599" s="11">
        <f>G599*AO599</f>
        <v>0</v>
      </c>
      <c r="AX599" s="11">
        <f>G599*AP599</f>
        <v>0</v>
      </c>
      <c r="AY599" s="29" t="s">
        <v>1098</v>
      </c>
      <c r="AZ599" s="29" t="s">
        <v>1125</v>
      </c>
      <c r="BA599" s="26" t="s">
        <v>1131</v>
      </c>
      <c r="BB599" s="26" t="s">
        <v>1155</v>
      </c>
      <c r="BC599" s="11">
        <f>AW599+AX599</f>
        <v>0</v>
      </c>
      <c r="BD599" s="11">
        <f>H599/(100-BE599)*100</f>
        <v>0</v>
      </c>
      <c r="BE599" s="11">
        <v>0</v>
      </c>
      <c r="BF599" s="11">
        <f>L599</f>
        <v>1198</v>
      </c>
      <c r="BH599" s="20">
        <f>G599*AO599</f>
        <v>0</v>
      </c>
      <c r="BI599" s="20">
        <f>G599*AP599</f>
        <v>0</v>
      </c>
      <c r="BJ599" s="20">
        <f>G599*H599</f>
        <v>0</v>
      </c>
      <c r="BK599" s="20" t="s">
        <v>1164</v>
      </c>
      <c r="BL599" s="11">
        <v>733</v>
      </c>
    </row>
    <row r="600" spans="1:64" x14ac:dyDescent="0.2">
      <c r="A600" s="35"/>
      <c r="B600" s="36"/>
      <c r="C600" s="81" t="s">
        <v>139</v>
      </c>
      <c r="D600" s="36"/>
      <c r="E600" s="82" t="s">
        <v>1042</v>
      </c>
      <c r="F600" s="36"/>
      <c r="G600" s="83">
        <v>2</v>
      </c>
      <c r="H600" s="36"/>
      <c r="I600" s="36"/>
      <c r="J600" s="36"/>
      <c r="K600" s="36"/>
      <c r="L600" s="36"/>
      <c r="M600" s="35"/>
      <c r="N600" s="32"/>
    </row>
    <row r="601" spans="1:64" x14ac:dyDescent="0.2">
      <c r="A601" s="79" t="s">
        <v>331</v>
      </c>
      <c r="B601" s="79" t="s">
        <v>474</v>
      </c>
      <c r="C601" s="194" t="s">
        <v>869</v>
      </c>
      <c r="D601" s="195"/>
      <c r="E601" s="195"/>
      <c r="F601" s="79" t="s">
        <v>1047</v>
      </c>
      <c r="G601" s="80">
        <v>6</v>
      </c>
      <c r="H601" s="80">
        <v>0</v>
      </c>
      <c r="I601" s="80">
        <f>G601*AO601</f>
        <v>0</v>
      </c>
      <c r="J601" s="80">
        <f>G601*AP601</f>
        <v>0</v>
      </c>
      <c r="K601" s="80">
        <f>G601*H601</f>
        <v>0</v>
      </c>
      <c r="L601" s="80">
        <f>G601*601</f>
        <v>3606</v>
      </c>
      <c r="M601" s="94" t="s">
        <v>1066</v>
      </c>
      <c r="N601" s="32"/>
      <c r="Z601" s="11">
        <f>IF(AQ601="5",BJ601,0)</f>
        <v>0</v>
      </c>
      <c r="AB601" s="11">
        <f>IF(AQ601="1",BH601,0)</f>
        <v>0</v>
      </c>
      <c r="AC601" s="11">
        <f>IF(AQ601="1",BI601,0)</f>
        <v>0</v>
      </c>
      <c r="AD601" s="11">
        <f>IF(AQ601="7",BH601,0)</f>
        <v>0</v>
      </c>
      <c r="AE601" s="11">
        <f>IF(AQ601="7",BI601,0)</f>
        <v>0</v>
      </c>
      <c r="AF601" s="11">
        <f>IF(AQ601="2",BH601,0)</f>
        <v>0</v>
      </c>
      <c r="AG601" s="11">
        <f>IF(AQ601="2",BI601,0)</f>
        <v>0</v>
      </c>
      <c r="AH601" s="11">
        <f>IF(AQ601="0",BJ601,0)</f>
        <v>0</v>
      </c>
      <c r="AI601" s="26" t="s">
        <v>79</v>
      </c>
      <c r="AJ601" s="20">
        <f>IF(AN601=0,K601,0)</f>
        <v>0</v>
      </c>
      <c r="AK601" s="20">
        <f>IF(AN601=15,K601,0)</f>
        <v>0</v>
      </c>
      <c r="AL601" s="20">
        <f>IF(AN601=21,K601,0)</f>
        <v>0</v>
      </c>
      <c r="AN601" s="11">
        <v>21</v>
      </c>
      <c r="AO601" s="11">
        <f>H601*0.463642857142857</f>
        <v>0</v>
      </c>
      <c r="AP601" s="11">
        <f>H601*(1-0.463642857142857)</f>
        <v>0</v>
      </c>
      <c r="AQ601" s="27" t="s">
        <v>144</v>
      </c>
      <c r="AV601" s="11">
        <f>AW601+AX601</f>
        <v>0</v>
      </c>
      <c r="AW601" s="11">
        <f>G601*AO601</f>
        <v>0</v>
      </c>
      <c r="AX601" s="11">
        <f>G601*AP601</f>
        <v>0</v>
      </c>
      <c r="AY601" s="29" t="s">
        <v>1098</v>
      </c>
      <c r="AZ601" s="29" t="s">
        <v>1125</v>
      </c>
      <c r="BA601" s="26" t="s">
        <v>1131</v>
      </c>
      <c r="BB601" s="26" t="s">
        <v>1155</v>
      </c>
      <c r="BC601" s="11">
        <f>AW601+AX601</f>
        <v>0</v>
      </c>
      <c r="BD601" s="11">
        <f>H601/(100-BE601)*100</f>
        <v>0</v>
      </c>
      <c r="BE601" s="11">
        <v>0</v>
      </c>
      <c r="BF601" s="11">
        <f>L601</f>
        <v>3606</v>
      </c>
      <c r="BH601" s="20">
        <f>G601*AO601</f>
        <v>0</v>
      </c>
      <c r="BI601" s="20">
        <f>G601*AP601</f>
        <v>0</v>
      </c>
      <c r="BJ601" s="20">
        <f>G601*H601</f>
        <v>0</v>
      </c>
      <c r="BK601" s="20" t="s">
        <v>1164</v>
      </c>
      <c r="BL601" s="11">
        <v>733</v>
      </c>
    </row>
    <row r="602" spans="1:64" x14ac:dyDescent="0.2">
      <c r="A602" s="35"/>
      <c r="B602" s="36"/>
      <c r="C602" s="81" t="s">
        <v>143</v>
      </c>
      <c r="D602" s="36"/>
      <c r="E602" s="82"/>
      <c r="F602" s="36"/>
      <c r="G602" s="83">
        <v>6</v>
      </c>
      <c r="H602" s="36"/>
      <c r="I602" s="36"/>
      <c r="J602" s="36"/>
      <c r="K602" s="36"/>
      <c r="L602" s="36"/>
      <c r="M602" s="35"/>
      <c r="N602" s="32"/>
    </row>
    <row r="603" spans="1:64" x14ac:dyDescent="0.2">
      <c r="A603" s="79" t="s">
        <v>332</v>
      </c>
      <c r="B603" s="79" t="s">
        <v>475</v>
      </c>
      <c r="C603" s="194" t="s">
        <v>870</v>
      </c>
      <c r="D603" s="195"/>
      <c r="E603" s="195"/>
      <c r="F603" s="79" t="s">
        <v>1047</v>
      </c>
      <c r="G603" s="80">
        <v>6</v>
      </c>
      <c r="H603" s="80">
        <v>0</v>
      </c>
      <c r="I603" s="80">
        <f>G603*AO603</f>
        <v>0</v>
      </c>
      <c r="J603" s="80">
        <f>G603*AP603</f>
        <v>0</v>
      </c>
      <c r="K603" s="80">
        <f>G603*H603</f>
        <v>0</v>
      </c>
      <c r="L603" s="80">
        <f>G603*603</f>
        <v>3618</v>
      </c>
      <c r="M603" s="94" t="s">
        <v>1066</v>
      </c>
      <c r="N603" s="32"/>
      <c r="Z603" s="11">
        <f>IF(AQ603="5",BJ603,0)</f>
        <v>0</v>
      </c>
      <c r="AB603" s="11">
        <f>IF(AQ603="1",BH603,0)</f>
        <v>0</v>
      </c>
      <c r="AC603" s="11">
        <f>IF(AQ603="1",BI603,0)</f>
        <v>0</v>
      </c>
      <c r="AD603" s="11">
        <f>IF(AQ603="7",BH603,0)</f>
        <v>0</v>
      </c>
      <c r="AE603" s="11">
        <f>IF(AQ603="7",BI603,0)</f>
        <v>0</v>
      </c>
      <c r="AF603" s="11">
        <f>IF(AQ603="2",BH603,0)</f>
        <v>0</v>
      </c>
      <c r="AG603" s="11">
        <f>IF(AQ603="2",BI603,0)</f>
        <v>0</v>
      </c>
      <c r="AH603" s="11">
        <f>IF(AQ603="0",BJ603,0)</f>
        <v>0</v>
      </c>
      <c r="AI603" s="26" t="s">
        <v>79</v>
      </c>
      <c r="AJ603" s="20">
        <f>IF(AN603=0,K603,0)</f>
        <v>0</v>
      </c>
      <c r="AK603" s="20">
        <f>IF(AN603=15,K603,0)</f>
        <v>0</v>
      </c>
      <c r="AL603" s="20">
        <f>IF(AN603=21,K603,0)</f>
        <v>0</v>
      </c>
      <c r="AN603" s="11">
        <v>21</v>
      </c>
      <c r="AO603" s="11">
        <f>H603*0.302733188720174</f>
        <v>0</v>
      </c>
      <c r="AP603" s="11">
        <f>H603*(1-0.302733188720174)</f>
        <v>0</v>
      </c>
      <c r="AQ603" s="27" t="s">
        <v>144</v>
      </c>
      <c r="AV603" s="11">
        <f>AW603+AX603</f>
        <v>0</v>
      </c>
      <c r="AW603" s="11">
        <f>G603*AO603</f>
        <v>0</v>
      </c>
      <c r="AX603" s="11">
        <f>G603*AP603</f>
        <v>0</v>
      </c>
      <c r="AY603" s="29" t="s">
        <v>1098</v>
      </c>
      <c r="AZ603" s="29" t="s">
        <v>1125</v>
      </c>
      <c r="BA603" s="26" t="s">
        <v>1131</v>
      </c>
      <c r="BB603" s="26" t="s">
        <v>1155</v>
      </c>
      <c r="BC603" s="11">
        <f>AW603+AX603</f>
        <v>0</v>
      </c>
      <c r="BD603" s="11">
        <f>H603/(100-BE603)*100</f>
        <v>0</v>
      </c>
      <c r="BE603" s="11">
        <v>0</v>
      </c>
      <c r="BF603" s="11">
        <f>L603</f>
        <v>3618</v>
      </c>
      <c r="BH603" s="20">
        <f>G603*AO603</f>
        <v>0</v>
      </c>
      <c r="BI603" s="20">
        <f>G603*AP603</f>
        <v>0</v>
      </c>
      <c r="BJ603" s="20">
        <f>G603*H603</f>
        <v>0</v>
      </c>
      <c r="BK603" s="20" t="s">
        <v>1164</v>
      </c>
      <c r="BL603" s="11">
        <v>733</v>
      </c>
    </row>
    <row r="604" spans="1:64" x14ac:dyDescent="0.2">
      <c r="A604" s="77"/>
      <c r="B604" s="76" t="s">
        <v>106</v>
      </c>
      <c r="C604" s="204" t="s">
        <v>131</v>
      </c>
      <c r="D604" s="205"/>
      <c r="E604" s="205"/>
      <c r="F604" s="77" t="s">
        <v>60</v>
      </c>
      <c r="G604" s="77" t="s">
        <v>60</v>
      </c>
      <c r="H604" s="77" t="s">
        <v>60</v>
      </c>
      <c r="I604" s="78">
        <f>SUM(I605:I605)</f>
        <v>0</v>
      </c>
      <c r="J604" s="78">
        <f>SUM(J605:J605)</f>
        <v>0</v>
      </c>
      <c r="K604" s="78">
        <f>SUM(K605:K605)</f>
        <v>0</v>
      </c>
      <c r="L604" s="78">
        <f>SUM(L605:L605)</f>
        <v>3630</v>
      </c>
      <c r="M604" s="93"/>
      <c r="N604" s="32"/>
      <c r="AI604" s="26" t="s">
        <v>79</v>
      </c>
      <c r="AS604" s="31">
        <f>SUM(AJ605:AJ605)</f>
        <v>0</v>
      </c>
      <c r="AT604" s="31">
        <f>SUM(AK605:AK605)</f>
        <v>0</v>
      </c>
      <c r="AU604" s="31">
        <f>SUM(AL605:AL605)</f>
        <v>0</v>
      </c>
    </row>
    <row r="605" spans="1:64" x14ac:dyDescent="0.2">
      <c r="A605" s="79" t="s">
        <v>333</v>
      </c>
      <c r="B605" s="79" t="s">
        <v>476</v>
      </c>
      <c r="C605" s="194" t="s">
        <v>871</v>
      </c>
      <c r="D605" s="195"/>
      <c r="E605" s="195"/>
      <c r="F605" s="79" t="s">
        <v>1047</v>
      </c>
      <c r="G605" s="80">
        <v>6</v>
      </c>
      <c r="H605" s="80">
        <v>0</v>
      </c>
      <c r="I605" s="80">
        <f>G605*AO605</f>
        <v>0</v>
      </c>
      <c r="J605" s="80">
        <f>G605*AP605</f>
        <v>0</v>
      </c>
      <c r="K605" s="80">
        <f>G605*H605</f>
        <v>0</v>
      </c>
      <c r="L605" s="80">
        <f>G605*605</f>
        <v>3630</v>
      </c>
      <c r="M605" s="94" t="s">
        <v>1066</v>
      </c>
      <c r="N605" s="32"/>
      <c r="Z605" s="11">
        <f>IF(AQ605="5",BJ605,0)</f>
        <v>0</v>
      </c>
      <c r="AB605" s="11">
        <f>IF(AQ605="1",BH605,0)</f>
        <v>0</v>
      </c>
      <c r="AC605" s="11">
        <f>IF(AQ605="1",BI605,0)</f>
        <v>0</v>
      </c>
      <c r="AD605" s="11">
        <f>IF(AQ605="7",BH605,0)</f>
        <v>0</v>
      </c>
      <c r="AE605" s="11">
        <f>IF(AQ605="7",BI605,0)</f>
        <v>0</v>
      </c>
      <c r="AF605" s="11">
        <f>IF(AQ605="2",BH605,0)</f>
        <v>0</v>
      </c>
      <c r="AG605" s="11">
        <f>IF(AQ605="2",BI605,0)</f>
        <v>0</v>
      </c>
      <c r="AH605" s="11">
        <f>IF(AQ605="0",BJ605,0)</f>
        <v>0</v>
      </c>
      <c r="AI605" s="26" t="s">
        <v>79</v>
      </c>
      <c r="AJ605" s="20">
        <f>IF(AN605=0,K605,0)</f>
        <v>0</v>
      </c>
      <c r="AK605" s="20">
        <f>IF(AN605=15,K605,0)</f>
        <v>0</v>
      </c>
      <c r="AL605" s="20">
        <f>IF(AN605=21,K605,0)</f>
        <v>0</v>
      </c>
      <c r="AN605" s="11">
        <v>21</v>
      </c>
      <c r="AO605" s="11">
        <f>H605*0.217948717948718</f>
        <v>0</v>
      </c>
      <c r="AP605" s="11">
        <f>H605*(1-0.217948717948718)</f>
        <v>0</v>
      </c>
      <c r="AQ605" s="27" t="s">
        <v>144</v>
      </c>
      <c r="AV605" s="11">
        <f>AW605+AX605</f>
        <v>0</v>
      </c>
      <c r="AW605" s="11">
        <f>G605*AO605</f>
        <v>0</v>
      </c>
      <c r="AX605" s="11">
        <f>G605*AP605</f>
        <v>0</v>
      </c>
      <c r="AY605" s="29" t="s">
        <v>1099</v>
      </c>
      <c r="AZ605" s="29" t="s">
        <v>1125</v>
      </c>
      <c r="BA605" s="26" t="s">
        <v>1131</v>
      </c>
      <c r="BB605" s="26" t="s">
        <v>1156</v>
      </c>
      <c r="BC605" s="11">
        <f>AW605+AX605</f>
        <v>0</v>
      </c>
      <c r="BD605" s="11">
        <f>H605/(100-BE605)*100</f>
        <v>0</v>
      </c>
      <c r="BE605" s="11">
        <v>0</v>
      </c>
      <c r="BF605" s="11">
        <f>L605</f>
        <v>3630</v>
      </c>
      <c r="BH605" s="20">
        <f>G605*AO605</f>
        <v>0</v>
      </c>
      <c r="BI605" s="20">
        <f>G605*AP605</f>
        <v>0</v>
      </c>
      <c r="BJ605" s="20">
        <f>G605*H605</f>
        <v>0</v>
      </c>
      <c r="BK605" s="20" t="s">
        <v>1164</v>
      </c>
      <c r="BL605" s="11">
        <v>734</v>
      </c>
    </row>
    <row r="606" spans="1:64" x14ac:dyDescent="0.2">
      <c r="A606" s="35"/>
      <c r="B606" s="36"/>
      <c r="C606" s="81" t="s">
        <v>848</v>
      </c>
      <c r="D606" s="36"/>
      <c r="E606" s="82"/>
      <c r="F606" s="36"/>
      <c r="G606" s="83">
        <v>6</v>
      </c>
      <c r="H606" s="36"/>
      <c r="I606" s="36"/>
      <c r="J606" s="36"/>
      <c r="K606" s="36"/>
      <c r="L606" s="36"/>
      <c r="M606" s="35"/>
      <c r="N606" s="32"/>
    </row>
    <row r="607" spans="1:64" x14ac:dyDescent="0.2">
      <c r="A607" s="77"/>
      <c r="B607" s="76" t="s">
        <v>107</v>
      </c>
      <c r="C607" s="204" t="s">
        <v>132</v>
      </c>
      <c r="D607" s="205"/>
      <c r="E607" s="205"/>
      <c r="F607" s="77" t="s">
        <v>60</v>
      </c>
      <c r="G607" s="77" t="s">
        <v>60</v>
      </c>
      <c r="H607" s="77" t="s">
        <v>60</v>
      </c>
      <c r="I607" s="78">
        <f>SUM(I608:I620)</f>
        <v>0</v>
      </c>
      <c r="J607" s="78">
        <f>SUM(J608:J620)</f>
        <v>0</v>
      </c>
      <c r="K607" s="78">
        <f>SUM(K608:K620)</f>
        <v>0</v>
      </c>
      <c r="L607" s="78">
        <f>SUM(L608:L620)</f>
        <v>112417.43999999999</v>
      </c>
      <c r="M607" s="93"/>
      <c r="N607" s="32"/>
      <c r="AI607" s="26" t="s">
        <v>79</v>
      </c>
      <c r="AS607" s="31">
        <f>SUM(AJ608:AJ620)</f>
        <v>0</v>
      </c>
      <c r="AT607" s="31">
        <f>SUM(AK608:AK620)</f>
        <v>0</v>
      </c>
      <c r="AU607" s="31">
        <f>SUM(AL608:AL620)</f>
        <v>0</v>
      </c>
    </row>
    <row r="608" spans="1:64" x14ac:dyDescent="0.2">
      <c r="A608" s="79" t="s">
        <v>334</v>
      </c>
      <c r="B608" s="79" t="s">
        <v>477</v>
      </c>
      <c r="C608" s="194" t="s">
        <v>872</v>
      </c>
      <c r="D608" s="195"/>
      <c r="E608" s="195"/>
      <c r="F608" s="79" t="s">
        <v>1050</v>
      </c>
      <c r="G608" s="80">
        <v>74.959999999999994</v>
      </c>
      <c r="H608" s="80">
        <v>0</v>
      </c>
      <c r="I608" s="80">
        <f>G608*AO608</f>
        <v>0</v>
      </c>
      <c r="J608" s="80">
        <f>G608*AP608</f>
        <v>0</v>
      </c>
      <c r="K608" s="80">
        <f>G608*H608</f>
        <v>0</v>
      </c>
      <c r="L608" s="80">
        <f>G608*608</f>
        <v>45575.679999999993</v>
      </c>
      <c r="M608" s="94" t="s">
        <v>1066</v>
      </c>
      <c r="N608" s="32"/>
      <c r="Z608" s="11">
        <f>IF(AQ608="5",BJ608,0)</f>
        <v>0</v>
      </c>
      <c r="AB608" s="11">
        <f>IF(AQ608="1",BH608,0)</f>
        <v>0</v>
      </c>
      <c r="AC608" s="11">
        <f>IF(AQ608="1",BI608,0)</f>
        <v>0</v>
      </c>
      <c r="AD608" s="11">
        <f>IF(AQ608="7",BH608,0)</f>
        <v>0</v>
      </c>
      <c r="AE608" s="11">
        <f>IF(AQ608="7",BI608,0)</f>
        <v>0</v>
      </c>
      <c r="AF608" s="11">
        <f>IF(AQ608="2",BH608,0)</f>
        <v>0</v>
      </c>
      <c r="AG608" s="11">
        <f>IF(AQ608="2",BI608,0)</f>
        <v>0</v>
      </c>
      <c r="AH608" s="11">
        <f>IF(AQ608="0",BJ608,0)</f>
        <v>0</v>
      </c>
      <c r="AI608" s="26" t="s">
        <v>79</v>
      </c>
      <c r="AJ608" s="20">
        <f>IF(AN608=0,K608,0)</f>
        <v>0</v>
      </c>
      <c r="AK608" s="20">
        <f>IF(AN608=15,K608,0)</f>
        <v>0</v>
      </c>
      <c r="AL608" s="20">
        <f>IF(AN608=21,K608,0)</f>
        <v>0</v>
      </c>
      <c r="AN608" s="11">
        <v>21</v>
      </c>
      <c r="AO608" s="11">
        <f>H608*0</f>
        <v>0</v>
      </c>
      <c r="AP608" s="11">
        <f>H608*(1-0)</f>
        <v>0</v>
      </c>
      <c r="AQ608" s="27" t="s">
        <v>144</v>
      </c>
      <c r="AV608" s="11">
        <f>AW608+AX608</f>
        <v>0</v>
      </c>
      <c r="AW608" s="11">
        <f>G608*AO608</f>
        <v>0</v>
      </c>
      <c r="AX608" s="11">
        <f>G608*AP608</f>
        <v>0</v>
      </c>
      <c r="AY608" s="29" t="s">
        <v>1100</v>
      </c>
      <c r="AZ608" s="29" t="s">
        <v>1125</v>
      </c>
      <c r="BA608" s="26" t="s">
        <v>1131</v>
      </c>
      <c r="BB608" s="26" t="s">
        <v>1157</v>
      </c>
      <c r="BC608" s="11">
        <f>AW608+AX608</f>
        <v>0</v>
      </c>
      <c r="BD608" s="11">
        <f>H608/(100-BE608)*100</f>
        <v>0</v>
      </c>
      <c r="BE608" s="11">
        <v>0</v>
      </c>
      <c r="BF608" s="11">
        <f>L608</f>
        <v>45575.679999999993</v>
      </c>
      <c r="BH608" s="20">
        <f>G608*AO608</f>
        <v>0</v>
      </c>
      <c r="BI608" s="20">
        <f>G608*AP608</f>
        <v>0</v>
      </c>
      <c r="BJ608" s="20">
        <f>G608*H608</f>
        <v>0</v>
      </c>
      <c r="BK608" s="20" t="s">
        <v>1164</v>
      </c>
      <c r="BL608" s="11">
        <v>735</v>
      </c>
    </row>
    <row r="609" spans="1:64" x14ac:dyDescent="0.2">
      <c r="A609" s="35"/>
      <c r="B609" s="36"/>
      <c r="C609" s="81" t="s">
        <v>873</v>
      </c>
      <c r="D609" s="36"/>
      <c r="E609" s="82" t="s">
        <v>1024</v>
      </c>
      <c r="F609" s="36"/>
      <c r="G609" s="83">
        <v>31.68</v>
      </c>
      <c r="H609" s="36"/>
      <c r="I609" s="36"/>
      <c r="J609" s="36"/>
      <c r="K609" s="36"/>
      <c r="L609" s="36"/>
      <c r="M609" s="35"/>
      <c r="N609" s="32"/>
    </row>
    <row r="610" spans="1:64" x14ac:dyDescent="0.2">
      <c r="A610" s="35"/>
      <c r="B610" s="36"/>
      <c r="C610" s="81" t="s">
        <v>874</v>
      </c>
      <c r="D610" s="36"/>
      <c r="E610" s="82" t="s">
        <v>1043</v>
      </c>
      <c r="F610" s="36"/>
      <c r="G610" s="83">
        <v>43.28</v>
      </c>
      <c r="H610" s="36"/>
      <c r="I610" s="36"/>
      <c r="J610" s="36"/>
      <c r="K610" s="36"/>
      <c r="L610" s="36"/>
      <c r="M610" s="35"/>
      <c r="N610" s="32"/>
    </row>
    <row r="611" spans="1:64" x14ac:dyDescent="0.2">
      <c r="A611" s="79" t="s">
        <v>335</v>
      </c>
      <c r="B611" s="79" t="s">
        <v>478</v>
      </c>
      <c r="C611" s="194" t="s">
        <v>875</v>
      </c>
      <c r="D611" s="195"/>
      <c r="E611" s="195"/>
      <c r="F611" s="79" t="s">
        <v>1050</v>
      </c>
      <c r="G611" s="80">
        <v>74.959999999999994</v>
      </c>
      <c r="H611" s="80">
        <v>0</v>
      </c>
      <c r="I611" s="80">
        <f>G611*AO611</f>
        <v>0</v>
      </c>
      <c r="J611" s="80">
        <f>G611*AP611</f>
        <v>0</v>
      </c>
      <c r="K611" s="80">
        <f>G611*H611</f>
        <v>0</v>
      </c>
      <c r="L611" s="80">
        <f>G611*611</f>
        <v>45800.56</v>
      </c>
      <c r="M611" s="94" t="s">
        <v>1066</v>
      </c>
      <c r="N611" s="32"/>
      <c r="Z611" s="11">
        <f>IF(AQ611="5",BJ611,0)</f>
        <v>0</v>
      </c>
      <c r="AB611" s="11">
        <f>IF(AQ611="1",BH611,0)</f>
        <v>0</v>
      </c>
      <c r="AC611" s="11">
        <f>IF(AQ611="1",BI611,0)</f>
        <v>0</v>
      </c>
      <c r="AD611" s="11">
        <f>IF(AQ611="7",BH611,0)</f>
        <v>0</v>
      </c>
      <c r="AE611" s="11">
        <f>IF(AQ611="7",BI611,0)</f>
        <v>0</v>
      </c>
      <c r="AF611" s="11">
        <f>IF(AQ611="2",BH611,0)</f>
        <v>0</v>
      </c>
      <c r="AG611" s="11">
        <f>IF(AQ611="2",BI611,0)</f>
        <v>0</v>
      </c>
      <c r="AH611" s="11">
        <f>IF(AQ611="0",BJ611,0)</f>
        <v>0</v>
      </c>
      <c r="AI611" s="26" t="s">
        <v>79</v>
      </c>
      <c r="AJ611" s="20">
        <f>IF(AN611=0,K611,0)</f>
        <v>0</v>
      </c>
      <c r="AK611" s="20">
        <f>IF(AN611=15,K611,0)</f>
        <v>0</v>
      </c>
      <c r="AL611" s="20">
        <f>IF(AN611=21,K611,0)</f>
        <v>0</v>
      </c>
      <c r="AN611" s="11">
        <v>21</v>
      </c>
      <c r="AO611" s="11">
        <f>H611*0</f>
        <v>0</v>
      </c>
      <c r="AP611" s="11">
        <f>H611*(1-0)</f>
        <v>0</v>
      </c>
      <c r="AQ611" s="27" t="s">
        <v>144</v>
      </c>
      <c r="AV611" s="11">
        <f>AW611+AX611</f>
        <v>0</v>
      </c>
      <c r="AW611" s="11">
        <f>G611*AO611</f>
        <v>0</v>
      </c>
      <c r="AX611" s="11">
        <f>G611*AP611</f>
        <v>0</v>
      </c>
      <c r="AY611" s="29" t="s">
        <v>1100</v>
      </c>
      <c r="AZ611" s="29" t="s">
        <v>1125</v>
      </c>
      <c r="BA611" s="26" t="s">
        <v>1131</v>
      </c>
      <c r="BB611" s="26" t="s">
        <v>1157</v>
      </c>
      <c r="BC611" s="11">
        <f>AW611+AX611</f>
        <v>0</v>
      </c>
      <c r="BD611" s="11">
        <f>H611/(100-BE611)*100</f>
        <v>0</v>
      </c>
      <c r="BE611" s="11">
        <v>0</v>
      </c>
      <c r="BF611" s="11">
        <f>L611</f>
        <v>45800.56</v>
      </c>
      <c r="BH611" s="20">
        <f>G611*AO611</f>
        <v>0</v>
      </c>
      <c r="BI611" s="20">
        <f>G611*AP611</f>
        <v>0</v>
      </c>
      <c r="BJ611" s="20">
        <f>G611*H611</f>
        <v>0</v>
      </c>
      <c r="BK611" s="20" t="s">
        <v>1164</v>
      </c>
      <c r="BL611" s="11">
        <v>735</v>
      </c>
    </row>
    <row r="612" spans="1:64" x14ac:dyDescent="0.2">
      <c r="A612" s="35"/>
      <c r="B612" s="36"/>
      <c r="C612" s="81" t="s">
        <v>876</v>
      </c>
      <c r="D612" s="36"/>
      <c r="E612" s="82"/>
      <c r="F612" s="36"/>
      <c r="G612" s="83">
        <v>74.959999999999994</v>
      </c>
      <c r="H612" s="36"/>
      <c r="I612" s="36"/>
      <c r="J612" s="36"/>
      <c r="K612" s="36"/>
      <c r="L612" s="36"/>
      <c r="M612" s="35"/>
      <c r="N612" s="32"/>
    </row>
    <row r="613" spans="1:64" x14ac:dyDescent="0.2">
      <c r="A613" s="79" t="s">
        <v>336</v>
      </c>
      <c r="B613" s="79" t="s">
        <v>479</v>
      </c>
      <c r="C613" s="194" t="s">
        <v>877</v>
      </c>
      <c r="D613" s="195"/>
      <c r="E613" s="195"/>
      <c r="F613" s="79" t="s">
        <v>1047</v>
      </c>
      <c r="G613" s="80">
        <v>23</v>
      </c>
      <c r="H613" s="80">
        <v>0</v>
      </c>
      <c r="I613" s="80">
        <f>G613*AO613</f>
        <v>0</v>
      </c>
      <c r="J613" s="80">
        <f>G613*AP613</f>
        <v>0</v>
      </c>
      <c r="K613" s="80">
        <f>G613*H613</f>
        <v>0</v>
      </c>
      <c r="L613" s="80">
        <f>G613*613</f>
        <v>14099</v>
      </c>
      <c r="M613" s="94" t="s">
        <v>1066</v>
      </c>
      <c r="N613" s="32"/>
      <c r="Z613" s="11">
        <f>IF(AQ613="5",BJ613,0)</f>
        <v>0</v>
      </c>
      <c r="AB613" s="11">
        <f>IF(AQ613="1",BH613,0)</f>
        <v>0</v>
      </c>
      <c r="AC613" s="11">
        <f>IF(AQ613="1",BI613,0)</f>
        <v>0</v>
      </c>
      <c r="AD613" s="11">
        <f>IF(AQ613="7",BH613,0)</f>
        <v>0</v>
      </c>
      <c r="AE613" s="11">
        <f>IF(AQ613="7",BI613,0)</f>
        <v>0</v>
      </c>
      <c r="AF613" s="11">
        <f>IF(AQ613="2",BH613,0)</f>
        <v>0</v>
      </c>
      <c r="AG613" s="11">
        <f>IF(AQ613="2",BI613,0)</f>
        <v>0</v>
      </c>
      <c r="AH613" s="11">
        <f>IF(AQ613="0",BJ613,0)</f>
        <v>0</v>
      </c>
      <c r="AI613" s="26" t="s">
        <v>79</v>
      </c>
      <c r="AJ613" s="20">
        <f>IF(AN613=0,K613,0)</f>
        <v>0</v>
      </c>
      <c r="AK613" s="20">
        <f>IF(AN613=15,K613,0)</f>
        <v>0</v>
      </c>
      <c r="AL613" s="20">
        <f>IF(AN613=21,K613,0)</f>
        <v>0</v>
      </c>
      <c r="AN613" s="11">
        <v>21</v>
      </c>
      <c r="AO613" s="11">
        <f>H613*0</f>
        <v>0</v>
      </c>
      <c r="AP613" s="11">
        <f>H613*(1-0)</f>
        <v>0</v>
      </c>
      <c r="AQ613" s="27" t="s">
        <v>144</v>
      </c>
      <c r="AV613" s="11">
        <f>AW613+AX613</f>
        <v>0</v>
      </c>
      <c r="AW613" s="11">
        <f>G613*AO613</f>
        <v>0</v>
      </c>
      <c r="AX613" s="11">
        <f>G613*AP613</f>
        <v>0</v>
      </c>
      <c r="AY613" s="29" t="s">
        <v>1100</v>
      </c>
      <c r="AZ613" s="29" t="s">
        <v>1125</v>
      </c>
      <c r="BA613" s="26" t="s">
        <v>1131</v>
      </c>
      <c r="BB613" s="26" t="s">
        <v>1157</v>
      </c>
      <c r="BC613" s="11">
        <f>AW613+AX613</f>
        <v>0</v>
      </c>
      <c r="BD613" s="11">
        <f>H613/(100-BE613)*100</f>
        <v>0</v>
      </c>
      <c r="BE613" s="11">
        <v>0</v>
      </c>
      <c r="BF613" s="11">
        <f>L613</f>
        <v>14099</v>
      </c>
      <c r="BH613" s="20">
        <f>G613*AO613</f>
        <v>0</v>
      </c>
      <c r="BI613" s="20">
        <f>G613*AP613</f>
        <v>0</v>
      </c>
      <c r="BJ613" s="20">
        <f>G613*H613</f>
        <v>0</v>
      </c>
      <c r="BK613" s="20" t="s">
        <v>1164</v>
      </c>
      <c r="BL613" s="11">
        <v>735</v>
      </c>
    </row>
    <row r="614" spans="1:64" x14ac:dyDescent="0.2">
      <c r="A614" s="35"/>
      <c r="B614" s="36"/>
      <c r="C614" s="81" t="s">
        <v>878</v>
      </c>
      <c r="D614" s="36"/>
      <c r="E614" s="82"/>
      <c r="F614" s="36"/>
      <c r="G614" s="83">
        <v>23</v>
      </c>
      <c r="H614" s="36"/>
      <c r="I614" s="36"/>
      <c r="J614" s="36"/>
      <c r="K614" s="36"/>
      <c r="L614" s="36"/>
      <c r="M614" s="35"/>
      <c r="N614" s="32"/>
    </row>
    <row r="615" spans="1:64" x14ac:dyDescent="0.2">
      <c r="A615" s="79" t="s">
        <v>337</v>
      </c>
      <c r="B615" s="79" t="s">
        <v>480</v>
      </c>
      <c r="C615" s="194" t="s">
        <v>879</v>
      </c>
      <c r="D615" s="195"/>
      <c r="E615" s="195"/>
      <c r="F615" s="79" t="s">
        <v>1050</v>
      </c>
      <c r="G615" s="80">
        <v>4.12</v>
      </c>
      <c r="H615" s="80">
        <v>0</v>
      </c>
      <c r="I615" s="80">
        <f>G615*AO615</f>
        <v>0</v>
      </c>
      <c r="J615" s="80">
        <f>G615*AP615</f>
        <v>0</v>
      </c>
      <c r="K615" s="80">
        <f>G615*H615</f>
        <v>0</v>
      </c>
      <c r="L615" s="80">
        <f>G615*615</f>
        <v>2533.8000000000002</v>
      </c>
      <c r="M615" s="94" t="s">
        <v>1066</v>
      </c>
      <c r="N615" s="32"/>
      <c r="Z615" s="11">
        <f>IF(AQ615="5",BJ615,0)</f>
        <v>0</v>
      </c>
      <c r="AB615" s="11">
        <f>IF(AQ615="1",BH615,0)</f>
        <v>0</v>
      </c>
      <c r="AC615" s="11">
        <f>IF(AQ615="1",BI615,0)</f>
        <v>0</v>
      </c>
      <c r="AD615" s="11">
        <f>IF(AQ615="7",BH615,0)</f>
        <v>0</v>
      </c>
      <c r="AE615" s="11">
        <f>IF(AQ615="7",BI615,0)</f>
        <v>0</v>
      </c>
      <c r="AF615" s="11">
        <f>IF(AQ615="2",BH615,0)</f>
        <v>0</v>
      </c>
      <c r="AG615" s="11">
        <f>IF(AQ615="2",BI615,0)</f>
        <v>0</v>
      </c>
      <c r="AH615" s="11">
        <f>IF(AQ615="0",BJ615,0)</f>
        <v>0</v>
      </c>
      <c r="AI615" s="26" t="s">
        <v>79</v>
      </c>
      <c r="AJ615" s="20">
        <f>IF(AN615=0,K615,0)</f>
        <v>0</v>
      </c>
      <c r="AK615" s="20">
        <f>IF(AN615=15,K615,0)</f>
        <v>0</v>
      </c>
      <c r="AL615" s="20">
        <f>IF(AN615=21,K615,0)</f>
        <v>0</v>
      </c>
      <c r="AN615" s="11">
        <v>21</v>
      </c>
      <c r="AO615" s="11">
        <f>H615*0</f>
        <v>0</v>
      </c>
      <c r="AP615" s="11">
        <f>H615*(1-0)</f>
        <v>0</v>
      </c>
      <c r="AQ615" s="27" t="s">
        <v>144</v>
      </c>
      <c r="AV615" s="11">
        <f>AW615+AX615</f>
        <v>0</v>
      </c>
      <c r="AW615" s="11">
        <f>G615*AO615</f>
        <v>0</v>
      </c>
      <c r="AX615" s="11">
        <f>G615*AP615</f>
        <v>0</v>
      </c>
      <c r="AY615" s="29" t="s">
        <v>1100</v>
      </c>
      <c r="AZ615" s="29" t="s">
        <v>1125</v>
      </c>
      <c r="BA615" s="26" t="s">
        <v>1131</v>
      </c>
      <c r="BB615" s="26" t="s">
        <v>1157</v>
      </c>
      <c r="BC615" s="11">
        <f>AW615+AX615</f>
        <v>0</v>
      </c>
      <c r="BD615" s="11">
        <f>H615/(100-BE615)*100</f>
        <v>0</v>
      </c>
      <c r="BE615" s="11">
        <v>0</v>
      </c>
      <c r="BF615" s="11">
        <f>L615</f>
        <v>2533.8000000000002</v>
      </c>
      <c r="BH615" s="20">
        <f>G615*AO615</f>
        <v>0</v>
      </c>
      <c r="BI615" s="20">
        <f>G615*AP615</f>
        <v>0</v>
      </c>
      <c r="BJ615" s="20">
        <f>G615*H615</f>
        <v>0</v>
      </c>
      <c r="BK615" s="20" t="s">
        <v>1164</v>
      </c>
      <c r="BL615" s="11">
        <v>735</v>
      </c>
    </row>
    <row r="616" spans="1:64" x14ac:dyDescent="0.2">
      <c r="A616" s="35"/>
      <c r="B616" s="36"/>
      <c r="C616" s="81" t="s">
        <v>880</v>
      </c>
      <c r="D616" s="36"/>
      <c r="E616" s="82" t="s">
        <v>1024</v>
      </c>
      <c r="F616" s="36"/>
      <c r="G616" s="83">
        <v>1.92</v>
      </c>
      <c r="H616" s="36"/>
      <c r="I616" s="36"/>
      <c r="J616" s="36"/>
      <c r="K616" s="36"/>
      <c r="L616" s="36"/>
      <c r="M616" s="35"/>
      <c r="N616" s="32"/>
    </row>
    <row r="617" spans="1:64" x14ac:dyDescent="0.2">
      <c r="A617" s="35"/>
      <c r="B617" s="36"/>
      <c r="C617" s="81" t="s">
        <v>881</v>
      </c>
      <c r="D617" s="36"/>
      <c r="E617" s="82" t="s">
        <v>1024</v>
      </c>
      <c r="F617" s="36"/>
      <c r="G617" s="83">
        <v>2.2000000000000002</v>
      </c>
      <c r="H617" s="36"/>
      <c r="I617" s="36"/>
      <c r="J617" s="36"/>
      <c r="K617" s="36"/>
      <c r="L617" s="36"/>
      <c r="M617" s="35"/>
      <c r="N617" s="32"/>
    </row>
    <row r="618" spans="1:64" x14ac:dyDescent="0.2">
      <c r="A618" s="79" t="s">
        <v>338</v>
      </c>
      <c r="B618" s="79" t="s">
        <v>481</v>
      </c>
      <c r="C618" s="194" t="s">
        <v>882</v>
      </c>
      <c r="D618" s="195"/>
      <c r="E618" s="195"/>
      <c r="F618" s="79" t="s">
        <v>1047</v>
      </c>
      <c r="G618" s="80">
        <v>3</v>
      </c>
      <c r="H618" s="80">
        <v>0</v>
      </c>
      <c r="I618" s="80">
        <f>G618*AO618</f>
        <v>0</v>
      </c>
      <c r="J618" s="80">
        <f>G618*AP618</f>
        <v>0</v>
      </c>
      <c r="K618" s="80">
        <f>G618*H618</f>
        <v>0</v>
      </c>
      <c r="L618" s="80">
        <f>G618*618</f>
        <v>1854</v>
      </c>
      <c r="M618" s="94" t="s">
        <v>1066</v>
      </c>
      <c r="N618" s="32"/>
      <c r="Z618" s="11">
        <f>IF(AQ618="5",BJ618,0)</f>
        <v>0</v>
      </c>
      <c r="AB618" s="11">
        <f>IF(AQ618="1",BH618,0)</f>
        <v>0</v>
      </c>
      <c r="AC618" s="11">
        <f>IF(AQ618="1",BI618,0)</f>
        <v>0</v>
      </c>
      <c r="AD618" s="11">
        <f>IF(AQ618="7",BH618,0)</f>
        <v>0</v>
      </c>
      <c r="AE618" s="11">
        <f>IF(AQ618="7",BI618,0)</f>
        <v>0</v>
      </c>
      <c r="AF618" s="11">
        <f>IF(AQ618="2",BH618,0)</f>
        <v>0</v>
      </c>
      <c r="AG618" s="11">
        <f>IF(AQ618="2",BI618,0)</f>
        <v>0</v>
      </c>
      <c r="AH618" s="11">
        <f>IF(AQ618="0",BJ618,0)</f>
        <v>0</v>
      </c>
      <c r="AI618" s="26" t="s">
        <v>79</v>
      </c>
      <c r="AJ618" s="20">
        <f>IF(AN618=0,K618,0)</f>
        <v>0</v>
      </c>
      <c r="AK618" s="20">
        <f>IF(AN618=15,K618,0)</f>
        <v>0</v>
      </c>
      <c r="AL618" s="20">
        <f>IF(AN618=21,K618,0)</f>
        <v>0</v>
      </c>
      <c r="AN618" s="11">
        <v>21</v>
      </c>
      <c r="AO618" s="11">
        <f>H618*0.219434782608696</f>
        <v>0</v>
      </c>
      <c r="AP618" s="11">
        <f>H618*(1-0.219434782608696)</f>
        <v>0</v>
      </c>
      <c r="AQ618" s="27" t="s">
        <v>144</v>
      </c>
      <c r="AV618" s="11">
        <f>AW618+AX618</f>
        <v>0</v>
      </c>
      <c r="AW618" s="11">
        <f>G618*AO618</f>
        <v>0</v>
      </c>
      <c r="AX618" s="11">
        <f>G618*AP618</f>
        <v>0</v>
      </c>
      <c r="AY618" s="29" t="s">
        <v>1100</v>
      </c>
      <c r="AZ618" s="29" t="s">
        <v>1125</v>
      </c>
      <c r="BA618" s="26" t="s">
        <v>1131</v>
      </c>
      <c r="BB618" s="26" t="s">
        <v>1157</v>
      </c>
      <c r="BC618" s="11">
        <f>AW618+AX618</f>
        <v>0</v>
      </c>
      <c r="BD618" s="11">
        <f>H618/(100-BE618)*100</f>
        <v>0</v>
      </c>
      <c r="BE618" s="11">
        <v>0</v>
      </c>
      <c r="BF618" s="11">
        <f>L618</f>
        <v>1854</v>
      </c>
      <c r="BH618" s="20">
        <f>G618*AO618</f>
        <v>0</v>
      </c>
      <c r="BI618" s="20">
        <f>G618*AP618</f>
        <v>0</v>
      </c>
      <c r="BJ618" s="20">
        <f>G618*H618</f>
        <v>0</v>
      </c>
      <c r="BK618" s="20" t="s">
        <v>1164</v>
      </c>
      <c r="BL618" s="11">
        <v>735</v>
      </c>
    </row>
    <row r="619" spans="1:64" x14ac:dyDescent="0.2">
      <c r="A619" s="35"/>
      <c r="B619" s="36"/>
      <c r="C619" s="81" t="s">
        <v>140</v>
      </c>
      <c r="D619" s="36"/>
      <c r="E619" s="82"/>
      <c r="F619" s="36"/>
      <c r="G619" s="83">
        <v>3</v>
      </c>
      <c r="H619" s="36"/>
      <c r="I619" s="36"/>
      <c r="J619" s="36"/>
      <c r="K619" s="36"/>
      <c r="L619" s="36"/>
      <c r="M619" s="35"/>
      <c r="N619" s="32"/>
    </row>
    <row r="620" spans="1:64" x14ac:dyDescent="0.2">
      <c r="A620" s="79" t="s">
        <v>339</v>
      </c>
      <c r="B620" s="79" t="s">
        <v>482</v>
      </c>
      <c r="C620" s="194" t="s">
        <v>883</v>
      </c>
      <c r="D620" s="195"/>
      <c r="E620" s="195"/>
      <c r="F620" s="79" t="s">
        <v>1050</v>
      </c>
      <c r="G620" s="80">
        <v>4.12</v>
      </c>
      <c r="H620" s="80">
        <v>0</v>
      </c>
      <c r="I620" s="80">
        <f>G620*AO620</f>
        <v>0</v>
      </c>
      <c r="J620" s="80">
        <f>G620*AP620</f>
        <v>0</v>
      </c>
      <c r="K620" s="80">
        <f>G620*H620</f>
        <v>0</v>
      </c>
      <c r="L620" s="80">
        <f>G620*620</f>
        <v>2554.4</v>
      </c>
      <c r="M620" s="94" t="s">
        <v>1066</v>
      </c>
      <c r="N620" s="32"/>
      <c r="Z620" s="11">
        <f>IF(AQ620="5",BJ620,0)</f>
        <v>0</v>
      </c>
      <c r="AB620" s="11">
        <f>IF(AQ620="1",BH620,0)</f>
        <v>0</v>
      </c>
      <c r="AC620" s="11">
        <f>IF(AQ620="1",BI620,0)</f>
        <v>0</v>
      </c>
      <c r="AD620" s="11">
        <f>IF(AQ620="7",BH620,0)</f>
        <v>0</v>
      </c>
      <c r="AE620" s="11">
        <f>IF(AQ620="7",BI620,0)</f>
        <v>0</v>
      </c>
      <c r="AF620" s="11">
        <f>IF(AQ620="2",BH620,0)</f>
        <v>0</v>
      </c>
      <c r="AG620" s="11">
        <f>IF(AQ620="2",BI620,0)</f>
        <v>0</v>
      </c>
      <c r="AH620" s="11">
        <f>IF(AQ620="0",BJ620,0)</f>
        <v>0</v>
      </c>
      <c r="AI620" s="26" t="s">
        <v>79</v>
      </c>
      <c r="AJ620" s="20">
        <f>IF(AN620=0,K620,0)</f>
        <v>0</v>
      </c>
      <c r="AK620" s="20">
        <f>IF(AN620=15,K620,0)</f>
        <v>0</v>
      </c>
      <c r="AL620" s="20">
        <f>IF(AN620=21,K620,0)</f>
        <v>0</v>
      </c>
      <c r="AN620" s="11">
        <v>21</v>
      </c>
      <c r="AO620" s="11">
        <f>H620*0.390234741784038</f>
        <v>0</v>
      </c>
      <c r="AP620" s="11">
        <f>H620*(1-0.390234741784038)</f>
        <v>0</v>
      </c>
      <c r="AQ620" s="27" t="s">
        <v>144</v>
      </c>
      <c r="AV620" s="11">
        <f>AW620+AX620</f>
        <v>0</v>
      </c>
      <c r="AW620" s="11">
        <f>G620*AO620</f>
        <v>0</v>
      </c>
      <c r="AX620" s="11">
        <f>G620*AP620</f>
        <v>0</v>
      </c>
      <c r="AY620" s="29" t="s">
        <v>1100</v>
      </c>
      <c r="AZ620" s="29" t="s">
        <v>1125</v>
      </c>
      <c r="BA620" s="26" t="s">
        <v>1131</v>
      </c>
      <c r="BB620" s="26" t="s">
        <v>1157</v>
      </c>
      <c r="BC620" s="11">
        <f>AW620+AX620</f>
        <v>0</v>
      </c>
      <c r="BD620" s="11">
        <f>H620/(100-BE620)*100</f>
        <v>0</v>
      </c>
      <c r="BE620" s="11">
        <v>0</v>
      </c>
      <c r="BF620" s="11">
        <f>L620</f>
        <v>2554.4</v>
      </c>
      <c r="BH620" s="20">
        <f>G620*AO620</f>
        <v>0</v>
      </c>
      <c r="BI620" s="20">
        <f>G620*AP620</f>
        <v>0</v>
      </c>
      <c r="BJ620" s="20">
        <f>G620*H620</f>
        <v>0</v>
      </c>
      <c r="BK620" s="20" t="s">
        <v>1164</v>
      </c>
      <c r="BL620" s="11">
        <v>735</v>
      </c>
    </row>
    <row r="621" spans="1:64" x14ac:dyDescent="0.2">
      <c r="A621" s="35"/>
      <c r="B621" s="36"/>
      <c r="C621" s="81" t="s">
        <v>884</v>
      </c>
      <c r="D621" s="36"/>
      <c r="E621" s="82"/>
      <c r="F621" s="36"/>
      <c r="G621" s="83">
        <v>4.12</v>
      </c>
      <c r="H621" s="36"/>
      <c r="I621" s="36"/>
      <c r="J621" s="36"/>
      <c r="K621" s="36"/>
      <c r="L621" s="36"/>
      <c r="M621" s="35"/>
      <c r="N621" s="32"/>
    </row>
    <row r="622" spans="1:64" x14ac:dyDescent="0.2">
      <c r="A622" s="88"/>
      <c r="B622" s="87"/>
      <c r="C622" s="202" t="s">
        <v>66</v>
      </c>
      <c r="D622" s="203"/>
      <c r="E622" s="203"/>
      <c r="F622" s="88" t="s">
        <v>60</v>
      </c>
      <c r="G622" s="88" t="s">
        <v>60</v>
      </c>
      <c r="H622" s="88" t="s">
        <v>60</v>
      </c>
      <c r="I622" s="89">
        <f>I623</f>
        <v>0</v>
      </c>
      <c r="J622" s="89">
        <f>J623</f>
        <v>0</v>
      </c>
      <c r="K622" s="89">
        <f>K623</f>
        <v>0</v>
      </c>
      <c r="L622" s="89">
        <f>L623</f>
        <v>624</v>
      </c>
      <c r="M622" s="96"/>
      <c r="N622" s="32"/>
    </row>
    <row r="623" spans="1:64" x14ac:dyDescent="0.2">
      <c r="A623" s="77"/>
      <c r="B623" s="76" t="s">
        <v>108</v>
      </c>
      <c r="C623" s="204" t="s">
        <v>133</v>
      </c>
      <c r="D623" s="205"/>
      <c r="E623" s="205"/>
      <c r="F623" s="77" t="s">
        <v>60</v>
      </c>
      <c r="G623" s="77" t="s">
        <v>60</v>
      </c>
      <c r="H623" s="77" t="s">
        <v>60</v>
      </c>
      <c r="I623" s="78">
        <f>SUM(I624:I624)</f>
        <v>0</v>
      </c>
      <c r="J623" s="78">
        <f>SUM(J624:J624)</f>
        <v>0</v>
      </c>
      <c r="K623" s="78">
        <f>SUM(K624:K624)</f>
        <v>0</v>
      </c>
      <c r="L623" s="78">
        <f>SUM(L624:L624)</f>
        <v>624</v>
      </c>
      <c r="M623" s="93"/>
      <c r="N623" s="32"/>
      <c r="AI623" s="26" t="s">
        <v>80</v>
      </c>
      <c r="AS623" s="31">
        <f>SUM(AJ624:AJ624)</f>
        <v>0</v>
      </c>
      <c r="AT623" s="31">
        <f>SUM(AK624:AK624)</f>
        <v>0</v>
      </c>
      <c r="AU623" s="31">
        <f>SUM(AL624:AL624)</f>
        <v>0</v>
      </c>
    </row>
    <row r="624" spans="1:64" x14ac:dyDescent="0.2">
      <c r="A624" s="79" t="s">
        <v>340</v>
      </c>
      <c r="B624" s="79" t="s">
        <v>483</v>
      </c>
      <c r="C624" s="194" t="s">
        <v>885</v>
      </c>
      <c r="D624" s="195"/>
      <c r="E624" s="195"/>
      <c r="F624" s="79" t="s">
        <v>1052</v>
      </c>
      <c r="G624" s="80">
        <v>1</v>
      </c>
      <c r="H624" s="80">
        <v>0</v>
      </c>
      <c r="I624" s="80">
        <f>G624*AO624</f>
        <v>0</v>
      </c>
      <c r="J624" s="80">
        <f>G624*AP624</f>
        <v>0</v>
      </c>
      <c r="K624" s="80">
        <f>G624*H624</f>
        <v>0</v>
      </c>
      <c r="L624" s="80">
        <f>G624*624</f>
        <v>624</v>
      </c>
      <c r="M624" s="94" t="s">
        <v>1067</v>
      </c>
      <c r="N624" s="32"/>
      <c r="Z624" s="11">
        <f>IF(AQ624="5",BJ624,0)</f>
        <v>0</v>
      </c>
      <c r="AB624" s="11">
        <f>IF(AQ624="1",BH624,0)</f>
        <v>0</v>
      </c>
      <c r="AC624" s="11">
        <f>IF(AQ624="1",BI624,0)</f>
        <v>0</v>
      </c>
      <c r="AD624" s="11">
        <f>IF(AQ624="7",BH624,0)</f>
        <v>0</v>
      </c>
      <c r="AE624" s="11">
        <f>IF(AQ624="7",BI624,0)</f>
        <v>0</v>
      </c>
      <c r="AF624" s="11">
        <f>IF(AQ624="2",BH624,0)</f>
        <v>0</v>
      </c>
      <c r="AG624" s="11">
        <f>IF(AQ624="2",BI624,0)</f>
        <v>0</v>
      </c>
      <c r="AH624" s="11">
        <f>IF(AQ624="0",BJ624,0)</f>
        <v>0</v>
      </c>
      <c r="AI624" s="26" t="s">
        <v>80</v>
      </c>
      <c r="AJ624" s="20">
        <f>IF(AN624=0,K624,0)</f>
        <v>0</v>
      </c>
      <c r="AK624" s="20">
        <f>IF(AN624=15,K624,0)</f>
        <v>0</v>
      </c>
      <c r="AL624" s="20">
        <f>IF(AN624=21,K624,0)</f>
        <v>0</v>
      </c>
      <c r="AN624" s="11">
        <v>21</v>
      </c>
      <c r="AO624" s="11">
        <f>H624*0.412036732712542</f>
        <v>0</v>
      </c>
      <c r="AP624" s="11">
        <f>H624*(1-0.412036732712542)</f>
        <v>0</v>
      </c>
      <c r="AQ624" s="27" t="s">
        <v>139</v>
      </c>
      <c r="AV624" s="11">
        <f>AW624+AX624</f>
        <v>0</v>
      </c>
      <c r="AW624" s="11">
        <f>G624*AO624</f>
        <v>0</v>
      </c>
      <c r="AX624" s="11">
        <f>G624*AP624</f>
        <v>0</v>
      </c>
      <c r="AY624" s="29" t="s">
        <v>1101</v>
      </c>
      <c r="AZ624" s="29" t="s">
        <v>1126</v>
      </c>
      <c r="BA624" s="26" t="s">
        <v>1132</v>
      </c>
      <c r="BB624" s="26" t="s">
        <v>1158</v>
      </c>
      <c r="BC624" s="11">
        <f>AW624+AX624</f>
        <v>0</v>
      </c>
      <c r="BD624" s="11">
        <f>H624/(100-BE624)*100</f>
        <v>0</v>
      </c>
      <c r="BE624" s="11">
        <v>0</v>
      </c>
      <c r="BF624" s="11">
        <f>L624</f>
        <v>624</v>
      </c>
      <c r="BH624" s="20">
        <f>G624*AO624</f>
        <v>0</v>
      </c>
      <c r="BI624" s="20">
        <f>G624*AP624</f>
        <v>0</v>
      </c>
      <c r="BJ624" s="20">
        <f>G624*H624</f>
        <v>0</v>
      </c>
      <c r="BK624" s="20" t="s">
        <v>1164</v>
      </c>
      <c r="BL624" s="11" t="s">
        <v>108</v>
      </c>
    </row>
    <row r="625" spans="1:64" x14ac:dyDescent="0.2">
      <c r="A625" s="35"/>
      <c r="B625" s="86" t="s">
        <v>354</v>
      </c>
      <c r="C625" s="196" t="s">
        <v>886</v>
      </c>
      <c r="D625" s="197"/>
      <c r="E625" s="197"/>
      <c r="F625" s="197"/>
      <c r="G625" s="197"/>
      <c r="H625" s="197"/>
      <c r="I625" s="197"/>
      <c r="J625" s="197"/>
      <c r="K625" s="197"/>
      <c r="L625" s="197"/>
      <c r="M625" s="197"/>
      <c r="N625" s="32"/>
    </row>
    <row r="626" spans="1:64" x14ac:dyDescent="0.2">
      <c r="A626" s="35"/>
      <c r="B626" s="36"/>
      <c r="C626" s="81" t="s">
        <v>138</v>
      </c>
      <c r="D626" s="36"/>
      <c r="E626" s="82" t="s">
        <v>1044</v>
      </c>
      <c r="F626" s="36"/>
      <c r="G626" s="83">
        <v>1</v>
      </c>
      <c r="H626" s="36"/>
      <c r="I626" s="36"/>
      <c r="J626" s="36"/>
      <c r="K626" s="36"/>
      <c r="L626" s="36"/>
      <c r="M626" s="35"/>
      <c r="N626" s="32"/>
    </row>
    <row r="627" spans="1:64" x14ac:dyDescent="0.2">
      <c r="A627" s="88"/>
      <c r="B627" s="87"/>
      <c r="C627" s="202" t="s">
        <v>67</v>
      </c>
      <c r="D627" s="203"/>
      <c r="E627" s="203"/>
      <c r="F627" s="88" t="s">
        <v>60</v>
      </c>
      <c r="G627" s="88" t="s">
        <v>60</v>
      </c>
      <c r="H627" s="88" t="s">
        <v>60</v>
      </c>
      <c r="I627" s="89">
        <f>I628</f>
        <v>0</v>
      </c>
      <c r="J627" s="89">
        <f>J628</f>
        <v>0</v>
      </c>
      <c r="K627" s="89">
        <f>K628</f>
        <v>0</v>
      </c>
      <c r="L627" s="89">
        <f>L628</f>
        <v>18498</v>
      </c>
      <c r="M627" s="96"/>
      <c r="N627" s="32"/>
    </row>
    <row r="628" spans="1:64" x14ac:dyDescent="0.2">
      <c r="A628" s="77"/>
      <c r="B628" s="76" t="s">
        <v>109</v>
      </c>
      <c r="C628" s="204" t="s">
        <v>134</v>
      </c>
      <c r="D628" s="205"/>
      <c r="E628" s="205"/>
      <c r="F628" s="77" t="s">
        <v>60</v>
      </c>
      <c r="G628" s="77" t="s">
        <v>60</v>
      </c>
      <c r="H628" s="77" t="s">
        <v>60</v>
      </c>
      <c r="I628" s="78">
        <f>SUM(I629:I641)</f>
        <v>0</v>
      </c>
      <c r="J628" s="78">
        <f>SUM(J629:J641)</f>
        <v>0</v>
      </c>
      <c r="K628" s="78">
        <f>SUM(K629:K641)</f>
        <v>0</v>
      </c>
      <c r="L628" s="78">
        <f>SUM(L629:L641)</f>
        <v>18498</v>
      </c>
      <c r="M628" s="93"/>
      <c r="N628" s="32"/>
      <c r="AI628" s="26" t="s">
        <v>81</v>
      </c>
      <c r="AS628" s="31">
        <f>SUM(AJ629:AJ641)</f>
        <v>0</v>
      </c>
      <c r="AT628" s="31">
        <f>SUM(AK629:AK641)</f>
        <v>0</v>
      </c>
      <c r="AU628" s="31">
        <f>SUM(AL629:AL641)</f>
        <v>0</v>
      </c>
    </row>
    <row r="629" spans="1:64" x14ac:dyDescent="0.2">
      <c r="A629" s="79" t="s">
        <v>341</v>
      </c>
      <c r="B629" s="79" t="s">
        <v>484</v>
      </c>
      <c r="C629" s="194" t="s">
        <v>887</v>
      </c>
      <c r="D629" s="195"/>
      <c r="E629" s="195"/>
      <c r="F629" s="79" t="s">
        <v>1052</v>
      </c>
      <c r="G629" s="80">
        <v>1</v>
      </c>
      <c r="H629" s="80">
        <v>0</v>
      </c>
      <c r="I629" s="80">
        <f>G629*AO629</f>
        <v>0</v>
      </c>
      <c r="J629" s="80">
        <f>G629*AP629</f>
        <v>0</v>
      </c>
      <c r="K629" s="80">
        <f>G629*H629</f>
        <v>0</v>
      </c>
      <c r="L629" s="80">
        <f>G629*629</f>
        <v>629</v>
      </c>
      <c r="M629" s="94" t="s">
        <v>1067</v>
      </c>
      <c r="N629" s="32"/>
      <c r="Z629" s="11">
        <f>IF(AQ629="5",BJ629,0)</f>
        <v>0</v>
      </c>
      <c r="AB629" s="11">
        <f>IF(AQ629="1",BH629,0)</f>
        <v>0</v>
      </c>
      <c r="AC629" s="11">
        <f>IF(AQ629="1",BI629,0)</f>
        <v>0</v>
      </c>
      <c r="AD629" s="11">
        <f>IF(AQ629="7",BH629,0)</f>
        <v>0</v>
      </c>
      <c r="AE629" s="11">
        <f>IF(AQ629="7",BI629,0)</f>
        <v>0</v>
      </c>
      <c r="AF629" s="11">
        <f>IF(AQ629="2",BH629,0)</f>
        <v>0</v>
      </c>
      <c r="AG629" s="11">
        <f>IF(AQ629="2",BI629,0)</f>
        <v>0</v>
      </c>
      <c r="AH629" s="11">
        <f>IF(AQ629="0",BJ629,0)</f>
        <v>0</v>
      </c>
      <c r="AI629" s="26" t="s">
        <v>81</v>
      </c>
      <c r="AJ629" s="20">
        <f>IF(AN629=0,K629,0)</f>
        <v>0</v>
      </c>
      <c r="AK629" s="20">
        <f>IF(AN629=15,K629,0)</f>
        <v>0</v>
      </c>
      <c r="AL629" s="20">
        <f>IF(AN629=21,K629,0)</f>
        <v>0</v>
      </c>
      <c r="AN629" s="11">
        <v>21</v>
      </c>
      <c r="AO629" s="11">
        <f>H629*0.335825873353041</f>
        <v>0</v>
      </c>
      <c r="AP629" s="11">
        <f>H629*(1-0.335825873353041)</f>
        <v>0</v>
      </c>
      <c r="AQ629" s="27" t="s">
        <v>139</v>
      </c>
      <c r="AV629" s="11">
        <f>AW629+AX629</f>
        <v>0</v>
      </c>
      <c r="AW629" s="11">
        <f>G629*AO629</f>
        <v>0</v>
      </c>
      <c r="AX629" s="11">
        <f>G629*AP629</f>
        <v>0</v>
      </c>
      <c r="AY629" s="29" t="s">
        <v>1102</v>
      </c>
      <c r="AZ629" s="29" t="s">
        <v>1127</v>
      </c>
      <c r="BA629" s="26" t="s">
        <v>1133</v>
      </c>
      <c r="BB629" s="26" t="s">
        <v>1159</v>
      </c>
      <c r="BC629" s="11">
        <f>AW629+AX629</f>
        <v>0</v>
      </c>
      <c r="BD629" s="11">
        <f>H629/(100-BE629)*100</f>
        <v>0</v>
      </c>
      <c r="BE629" s="11">
        <v>0</v>
      </c>
      <c r="BF629" s="11">
        <f>L629</f>
        <v>629</v>
      </c>
      <c r="BH629" s="20">
        <f>G629*AO629</f>
        <v>0</v>
      </c>
      <c r="BI629" s="20">
        <f>G629*AP629</f>
        <v>0</v>
      </c>
      <c r="BJ629" s="20">
        <f>G629*H629</f>
        <v>0</v>
      </c>
      <c r="BK629" s="20" t="s">
        <v>1164</v>
      </c>
      <c r="BL629" s="11" t="s">
        <v>109</v>
      </c>
    </row>
    <row r="630" spans="1:64" x14ac:dyDescent="0.2">
      <c r="A630" s="35"/>
      <c r="B630" s="36"/>
      <c r="C630" s="81" t="s">
        <v>138</v>
      </c>
      <c r="D630" s="36"/>
      <c r="E630" s="82" t="s">
        <v>1045</v>
      </c>
      <c r="F630" s="36"/>
      <c r="G630" s="83">
        <v>1</v>
      </c>
      <c r="H630" s="36"/>
      <c r="I630" s="36"/>
      <c r="J630" s="36"/>
      <c r="K630" s="36"/>
      <c r="L630" s="36"/>
      <c r="M630" s="35"/>
      <c r="N630" s="32"/>
    </row>
    <row r="631" spans="1:64" x14ac:dyDescent="0.2">
      <c r="A631" s="79" t="s">
        <v>342</v>
      </c>
      <c r="B631" s="79" t="s">
        <v>485</v>
      </c>
      <c r="C631" s="194" t="s">
        <v>888</v>
      </c>
      <c r="D631" s="195"/>
      <c r="E631" s="195"/>
      <c r="F631" s="79" t="s">
        <v>1047</v>
      </c>
      <c r="G631" s="80">
        <v>1</v>
      </c>
      <c r="H631" s="80">
        <v>0</v>
      </c>
      <c r="I631" s="80">
        <f t="shared" ref="I631:I636" si="0">G631*AO631</f>
        <v>0</v>
      </c>
      <c r="J631" s="80">
        <f t="shared" ref="J631:J636" si="1">G631*AP631</f>
        <v>0</v>
      </c>
      <c r="K631" s="80">
        <f t="shared" ref="K631:K636" si="2">G631*H631</f>
        <v>0</v>
      </c>
      <c r="L631" s="80">
        <f>G631*631</f>
        <v>631</v>
      </c>
      <c r="M631" s="94" t="s">
        <v>1066</v>
      </c>
      <c r="N631" s="32"/>
      <c r="Z631" s="11">
        <f t="shared" ref="Z631:Z636" si="3">IF(AQ631="5",BJ631,0)</f>
        <v>0</v>
      </c>
      <c r="AB631" s="11">
        <f t="shared" ref="AB631:AB636" si="4">IF(AQ631="1",BH631,0)</f>
        <v>0</v>
      </c>
      <c r="AC631" s="11">
        <f t="shared" ref="AC631:AC636" si="5">IF(AQ631="1",BI631,0)</f>
        <v>0</v>
      </c>
      <c r="AD631" s="11">
        <f t="shared" ref="AD631:AD636" si="6">IF(AQ631="7",BH631,0)</f>
        <v>0</v>
      </c>
      <c r="AE631" s="11">
        <f t="shared" ref="AE631:AE636" si="7">IF(AQ631="7",BI631,0)</f>
        <v>0</v>
      </c>
      <c r="AF631" s="11">
        <f t="shared" ref="AF631:AF636" si="8">IF(AQ631="2",BH631,0)</f>
        <v>0</v>
      </c>
      <c r="AG631" s="11">
        <f t="shared" ref="AG631:AG636" si="9">IF(AQ631="2",BI631,0)</f>
        <v>0</v>
      </c>
      <c r="AH631" s="11">
        <f t="shared" ref="AH631:AH636" si="10">IF(AQ631="0",BJ631,0)</f>
        <v>0</v>
      </c>
      <c r="AI631" s="26" t="s">
        <v>81</v>
      </c>
      <c r="AJ631" s="20">
        <f t="shared" ref="AJ631:AJ636" si="11">IF(AN631=0,K631,0)</f>
        <v>0</v>
      </c>
      <c r="AK631" s="20">
        <f t="shared" ref="AK631:AK636" si="12">IF(AN631=15,K631,0)</f>
        <v>0</v>
      </c>
      <c r="AL631" s="20">
        <f t="shared" ref="AL631:AL636" si="13">IF(AN631=21,K631,0)</f>
        <v>0</v>
      </c>
      <c r="AN631" s="11">
        <v>21</v>
      </c>
      <c r="AO631" s="11">
        <f t="shared" ref="AO631:AO636" si="14">H631*0</f>
        <v>0</v>
      </c>
      <c r="AP631" s="11">
        <f t="shared" ref="AP631:AP636" si="15">H631*(1-0)</f>
        <v>0</v>
      </c>
      <c r="AQ631" s="27" t="s">
        <v>139</v>
      </c>
      <c r="AV631" s="11">
        <f t="shared" ref="AV631:AV636" si="16">AW631+AX631</f>
        <v>0</v>
      </c>
      <c r="AW631" s="11">
        <f t="shared" ref="AW631:AW636" si="17">G631*AO631</f>
        <v>0</v>
      </c>
      <c r="AX631" s="11">
        <f t="shared" ref="AX631:AX636" si="18">G631*AP631</f>
        <v>0</v>
      </c>
      <c r="AY631" s="29" t="s">
        <v>1102</v>
      </c>
      <c r="AZ631" s="29" t="s">
        <v>1127</v>
      </c>
      <c r="BA631" s="26" t="s">
        <v>1133</v>
      </c>
      <c r="BB631" s="26" t="s">
        <v>1159</v>
      </c>
      <c r="BC631" s="11">
        <f t="shared" ref="BC631:BC636" si="19">AW631+AX631</f>
        <v>0</v>
      </c>
      <c r="BD631" s="11">
        <f t="shared" ref="BD631:BD636" si="20">H631/(100-BE631)*100</f>
        <v>0</v>
      </c>
      <c r="BE631" s="11">
        <v>0</v>
      </c>
      <c r="BF631" s="11">
        <f t="shared" ref="BF631:BF636" si="21">L631</f>
        <v>631</v>
      </c>
      <c r="BH631" s="20">
        <f t="shared" ref="BH631:BH636" si="22">G631*AO631</f>
        <v>0</v>
      </c>
      <c r="BI631" s="20">
        <f t="shared" ref="BI631:BI636" si="23">G631*AP631</f>
        <v>0</v>
      </c>
      <c r="BJ631" s="20">
        <f t="shared" ref="BJ631:BJ636" si="24">G631*H631</f>
        <v>0</v>
      </c>
      <c r="BK631" s="20" t="s">
        <v>1164</v>
      </c>
      <c r="BL631" s="11" t="s">
        <v>109</v>
      </c>
    </row>
    <row r="632" spans="1:64" x14ac:dyDescent="0.2">
      <c r="A632" s="79" t="s">
        <v>343</v>
      </c>
      <c r="B632" s="79" t="s">
        <v>486</v>
      </c>
      <c r="C632" s="194" t="s">
        <v>889</v>
      </c>
      <c r="D632" s="195"/>
      <c r="E632" s="195"/>
      <c r="F632" s="79" t="s">
        <v>1047</v>
      </c>
      <c r="G632" s="80">
        <v>1</v>
      </c>
      <c r="H632" s="80">
        <v>0</v>
      </c>
      <c r="I632" s="80">
        <f t="shared" si="0"/>
        <v>0</v>
      </c>
      <c r="J632" s="80">
        <f t="shared" si="1"/>
        <v>0</v>
      </c>
      <c r="K632" s="80">
        <f t="shared" si="2"/>
        <v>0</v>
      </c>
      <c r="L632" s="80">
        <f>G632*632</f>
        <v>632</v>
      </c>
      <c r="M632" s="94" t="s">
        <v>1066</v>
      </c>
      <c r="N632" s="32"/>
      <c r="Z632" s="11">
        <f t="shared" si="3"/>
        <v>0</v>
      </c>
      <c r="AB632" s="11">
        <f t="shared" si="4"/>
        <v>0</v>
      </c>
      <c r="AC632" s="11">
        <f t="shared" si="5"/>
        <v>0</v>
      </c>
      <c r="AD632" s="11">
        <f t="shared" si="6"/>
        <v>0</v>
      </c>
      <c r="AE632" s="11">
        <f t="shared" si="7"/>
        <v>0</v>
      </c>
      <c r="AF632" s="11">
        <f t="shared" si="8"/>
        <v>0</v>
      </c>
      <c r="AG632" s="11">
        <f t="shared" si="9"/>
        <v>0</v>
      </c>
      <c r="AH632" s="11">
        <f t="shared" si="10"/>
        <v>0</v>
      </c>
      <c r="AI632" s="26" t="s">
        <v>81</v>
      </c>
      <c r="AJ632" s="20">
        <f t="shared" si="11"/>
        <v>0</v>
      </c>
      <c r="AK632" s="20">
        <f t="shared" si="12"/>
        <v>0</v>
      </c>
      <c r="AL632" s="20">
        <f t="shared" si="13"/>
        <v>0</v>
      </c>
      <c r="AN632" s="11">
        <v>21</v>
      </c>
      <c r="AO632" s="11">
        <f t="shared" si="14"/>
        <v>0</v>
      </c>
      <c r="AP632" s="11">
        <f t="shared" si="15"/>
        <v>0</v>
      </c>
      <c r="AQ632" s="27" t="s">
        <v>139</v>
      </c>
      <c r="AV632" s="11">
        <f t="shared" si="16"/>
        <v>0</v>
      </c>
      <c r="AW632" s="11">
        <f t="shared" si="17"/>
        <v>0</v>
      </c>
      <c r="AX632" s="11">
        <f t="shared" si="18"/>
        <v>0</v>
      </c>
      <c r="AY632" s="29" t="s">
        <v>1102</v>
      </c>
      <c r="AZ632" s="29" t="s">
        <v>1127</v>
      </c>
      <c r="BA632" s="26" t="s">
        <v>1133</v>
      </c>
      <c r="BB632" s="26" t="s">
        <v>1159</v>
      </c>
      <c r="BC632" s="11">
        <f t="shared" si="19"/>
        <v>0</v>
      </c>
      <c r="BD632" s="11">
        <f t="shared" si="20"/>
        <v>0</v>
      </c>
      <c r="BE632" s="11">
        <v>0</v>
      </c>
      <c r="BF632" s="11">
        <f t="shared" si="21"/>
        <v>632</v>
      </c>
      <c r="BH632" s="20">
        <f t="shared" si="22"/>
        <v>0</v>
      </c>
      <c r="BI632" s="20">
        <f t="shared" si="23"/>
        <v>0</v>
      </c>
      <c r="BJ632" s="20">
        <f t="shared" si="24"/>
        <v>0</v>
      </c>
      <c r="BK632" s="20" t="s">
        <v>1164</v>
      </c>
      <c r="BL632" s="11" t="s">
        <v>109</v>
      </c>
    </row>
    <row r="633" spans="1:64" x14ac:dyDescent="0.2">
      <c r="A633" s="79" t="s">
        <v>344</v>
      </c>
      <c r="B633" s="79" t="s">
        <v>487</v>
      </c>
      <c r="C633" s="194" t="s">
        <v>890</v>
      </c>
      <c r="D633" s="195"/>
      <c r="E633" s="195"/>
      <c r="F633" s="79" t="s">
        <v>1047</v>
      </c>
      <c r="G633" s="80">
        <v>1</v>
      </c>
      <c r="H633" s="80">
        <v>0</v>
      </c>
      <c r="I633" s="80">
        <f t="shared" si="0"/>
        <v>0</v>
      </c>
      <c r="J633" s="80">
        <f t="shared" si="1"/>
        <v>0</v>
      </c>
      <c r="K633" s="80">
        <f t="shared" si="2"/>
        <v>0</v>
      </c>
      <c r="L633" s="80">
        <f>G633*633</f>
        <v>633</v>
      </c>
      <c r="M633" s="94" t="s">
        <v>1066</v>
      </c>
      <c r="N633" s="32"/>
      <c r="Z633" s="11">
        <f t="shared" si="3"/>
        <v>0</v>
      </c>
      <c r="AB633" s="11">
        <f t="shared" si="4"/>
        <v>0</v>
      </c>
      <c r="AC633" s="11">
        <f t="shared" si="5"/>
        <v>0</v>
      </c>
      <c r="AD633" s="11">
        <f t="shared" si="6"/>
        <v>0</v>
      </c>
      <c r="AE633" s="11">
        <f t="shared" si="7"/>
        <v>0</v>
      </c>
      <c r="AF633" s="11">
        <f t="shared" si="8"/>
        <v>0</v>
      </c>
      <c r="AG633" s="11">
        <f t="shared" si="9"/>
        <v>0</v>
      </c>
      <c r="AH633" s="11">
        <f t="shared" si="10"/>
        <v>0</v>
      </c>
      <c r="AI633" s="26" t="s">
        <v>81</v>
      </c>
      <c r="AJ633" s="20">
        <f t="shared" si="11"/>
        <v>0</v>
      </c>
      <c r="AK633" s="20">
        <f t="shared" si="12"/>
        <v>0</v>
      </c>
      <c r="AL633" s="20">
        <f t="shared" si="13"/>
        <v>0</v>
      </c>
      <c r="AN633" s="11">
        <v>21</v>
      </c>
      <c r="AO633" s="11">
        <f t="shared" si="14"/>
        <v>0</v>
      </c>
      <c r="AP633" s="11">
        <f t="shared" si="15"/>
        <v>0</v>
      </c>
      <c r="AQ633" s="27" t="s">
        <v>139</v>
      </c>
      <c r="AV633" s="11">
        <f t="shared" si="16"/>
        <v>0</v>
      </c>
      <c r="AW633" s="11">
        <f t="shared" si="17"/>
        <v>0</v>
      </c>
      <c r="AX633" s="11">
        <f t="shared" si="18"/>
        <v>0</v>
      </c>
      <c r="AY633" s="29" t="s">
        <v>1102</v>
      </c>
      <c r="AZ633" s="29" t="s">
        <v>1127</v>
      </c>
      <c r="BA633" s="26" t="s">
        <v>1133</v>
      </c>
      <c r="BB633" s="26" t="s">
        <v>1159</v>
      </c>
      <c r="BC633" s="11">
        <f t="shared" si="19"/>
        <v>0</v>
      </c>
      <c r="BD633" s="11">
        <f t="shared" si="20"/>
        <v>0</v>
      </c>
      <c r="BE633" s="11">
        <v>0</v>
      </c>
      <c r="BF633" s="11">
        <f t="shared" si="21"/>
        <v>633</v>
      </c>
      <c r="BH633" s="20">
        <f t="shared" si="22"/>
        <v>0</v>
      </c>
      <c r="BI633" s="20">
        <f t="shared" si="23"/>
        <v>0</v>
      </c>
      <c r="BJ633" s="20">
        <f t="shared" si="24"/>
        <v>0</v>
      </c>
      <c r="BK633" s="20" t="s">
        <v>1164</v>
      </c>
      <c r="BL633" s="11" t="s">
        <v>109</v>
      </c>
    </row>
    <row r="634" spans="1:64" x14ac:dyDescent="0.2">
      <c r="A634" s="79" t="s">
        <v>345</v>
      </c>
      <c r="B634" s="79" t="s">
        <v>488</v>
      </c>
      <c r="C634" s="194" t="s">
        <v>891</v>
      </c>
      <c r="D634" s="195"/>
      <c r="E634" s="195"/>
      <c r="F634" s="79" t="s">
        <v>1047</v>
      </c>
      <c r="G634" s="80">
        <v>5</v>
      </c>
      <c r="H634" s="80">
        <v>0</v>
      </c>
      <c r="I634" s="80">
        <f t="shared" si="0"/>
        <v>0</v>
      </c>
      <c r="J634" s="80">
        <f t="shared" si="1"/>
        <v>0</v>
      </c>
      <c r="K634" s="80">
        <f t="shared" si="2"/>
        <v>0</v>
      </c>
      <c r="L634" s="80">
        <f>G634*634</f>
        <v>3170</v>
      </c>
      <c r="M634" s="94" t="s">
        <v>1066</v>
      </c>
      <c r="N634" s="32"/>
      <c r="Z634" s="11">
        <f t="shared" si="3"/>
        <v>0</v>
      </c>
      <c r="AB634" s="11">
        <f t="shared" si="4"/>
        <v>0</v>
      </c>
      <c r="AC634" s="11">
        <f t="shared" si="5"/>
        <v>0</v>
      </c>
      <c r="AD634" s="11">
        <f t="shared" si="6"/>
        <v>0</v>
      </c>
      <c r="AE634" s="11">
        <f t="shared" si="7"/>
        <v>0</v>
      </c>
      <c r="AF634" s="11">
        <f t="shared" si="8"/>
        <v>0</v>
      </c>
      <c r="AG634" s="11">
        <f t="shared" si="9"/>
        <v>0</v>
      </c>
      <c r="AH634" s="11">
        <f t="shared" si="10"/>
        <v>0</v>
      </c>
      <c r="AI634" s="26" t="s">
        <v>81</v>
      </c>
      <c r="AJ634" s="20">
        <f t="shared" si="11"/>
        <v>0</v>
      </c>
      <c r="AK634" s="20">
        <f t="shared" si="12"/>
        <v>0</v>
      </c>
      <c r="AL634" s="20">
        <f t="shared" si="13"/>
        <v>0</v>
      </c>
      <c r="AN634" s="11">
        <v>21</v>
      </c>
      <c r="AO634" s="11">
        <f t="shared" si="14"/>
        <v>0</v>
      </c>
      <c r="AP634" s="11">
        <f t="shared" si="15"/>
        <v>0</v>
      </c>
      <c r="AQ634" s="27" t="s">
        <v>139</v>
      </c>
      <c r="AV634" s="11">
        <f t="shared" si="16"/>
        <v>0</v>
      </c>
      <c r="AW634" s="11">
        <f t="shared" si="17"/>
        <v>0</v>
      </c>
      <c r="AX634" s="11">
        <f t="shared" si="18"/>
        <v>0</v>
      </c>
      <c r="AY634" s="29" t="s">
        <v>1102</v>
      </c>
      <c r="AZ634" s="29" t="s">
        <v>1127</v>
      </c>
      <c r="BA634" s="26" t="s">
        <v>1133</v>
      </c>
      <c r="BB634" s="26" t="s">
        <v>1159</v>
      </c>
      <c r="BC634" s="11">
        <f t="shared" si="19"/>
        <v>0</v>
      </c>
      <c r="BD634" s="11">
        <f t="shared" si="20"/>
        <v>0</v>
      </c>
      <c r="BE634" s="11">
        <v>0</v>
      </c>
      <c r="BF634" s="11">
        <f t="shared" si="21"/>
        <v>3170</v>
      </c>
      <c r="BH634" s="20">
        <f t="shared" si="22"/>
        <v>0</v>
      </c>
      <c r="BI634" s="20">
        <f t="shared" si="23"/>
        <v>0</v>
      </c>
      <c r="BJ634" s="20">
        <f t="shared" si="24"/>
        <v>0</v>
      </c>
      <c r="BK634" s="20" t="s">
        <v>1164</v>
      </c>
      <c r="BL634" s="11" t="s">
        <v>109</v>
      </c>
    </row>
    <row r="635" spans="1:64" x14ac:dyDescent="0.2">
      <c r="A635" s="79" t="s">
        <v>346</v>
      </c>
      <c r="B635" s="79" t="s">
        <v>489</v>
      </c>
      <c r="C635" s="194" t="s">
        <v>892</v>
      </c>
      <c r="D635" s="195"/>
      <c r="E635" s="195"/>
      <c r="F635" s="79" t="s">
        <v>1047</v>
      </c>
      <c r="G635" s="80">
        <v>1</v>
      </c>
      <c r="H635" s="80">
        <v>0</v>
      </c>
      <c r="I635" s="80">
        <f t="shared" si="0"/>
        <v>0</v>
      </c>
      <c r="J635" s="80">
        <f t="shared" si="1"/>
        <v>0</v>
      </c>
      <c r="K635" s="80">
        <f t="shared" si="2"/>
        <v>0</v>
      </c>
      <c r="L635" s="80">
        <f>G635*635</f>
        <v>635</v>
      </c>
      <c r="M635" s="94" t="s">
        <v>1066</v>
      </c>
      <c r="N635" s="32"/>
      <c r="Z635" s="11">
        <f t="shared" si="3"/>
        <v>0</v>
      </c>
      <c r="AB635" s="11">
        <f t="shared" si="4"/>
        <v>0</v>
      </c>
      <c r="AC635" s="11">
        <f t="shared" si="5"/>
        <v>0</v>
      </c>
      <c r="AD635" s="11">
        <f t="shared" si="6"/>
        <v>0</v>
      </c>
      <c r="AE635" s="11">
        <f t="shared" si="7"/>
        <v>0</v>
      </c>
      <c r="AF635" s="11">
        <f t="shared" si="8"/>
        <v>0</v>
      </c>
      <c r="AG635" s="11">
        <f t="shared" si="9"/>
        <v>0</v>
      </c>
      <c r="AH635" s="11">
        <f t="shared" si="10"/>
        <v>0</v>
      </c>
      <c r="AI635" s="26" t="s">
        <v>81</v>
      </c>
      <c r="AJ635" s="20">
        <f t="shared" si="11"/>
        <v>0</v>
      </c>
      <c r="AK635" s="20">
        <f t="shared" si="12"/>
        <v>0</v>
      </c>
      <c r="AL635" s="20">
        <f t="shared" si="13"/>
        <v>0</v>
      </c>
      <c r="AN635" s="11">
        <v>21</v>
      </c>
      <c r="AO635" s="11">
        <f t="shared" si="14"/>
        <v>0</v>
      </c>
      <c r="AP635" s="11">
        <f t="shared" si="15"/>
        <v>0</v>
      </c>
      <c r="AQ635" s="27" t="s">
        <v>139</v>
      </c>
      <c r="AV635" s="11">
        <f t="shared" si="16"/>
        <v>0</v>
      </c>
      <c r="AW635" s="11">
        <f t="shared" si="17"/>
        <v>0</v>
      </c>
      <c r="AX635" s="11">
        <f t="shared" si="18"/>
        <v>0</v>
      </c>
      <c r="AY635" s="29" t="s">
        <v>1102</v>
      </c>
      <c r="AZ635" s="29" t="s">
        <v>1127</v>
      </c>
      <c r="BA635" s="26" t="s">
        <v>1133</v>
      </c>
      <c r="BB635" s="26" t="s">
        <v>1159</v>
      </c>
      <c r="BC635" s="11">
        <f t="shared" si="19"/>
        <v>0</v>
      </c>
      <c r="BD635" s="11">
        <f t="shared" si="20"/>
        <v>0</v>
      </c>
      <c r="BE635" s="11">
        <v>0</v>
      </c>
      <c r="BF635" s="11">
        <f t="shared" si="21"/>
        <v>635</v>
      </c>
      <c r="BH635" s="20">
        <f t="shared" si="22"/>
        <v>0</v>
      </c>
      <c r="BI635" s="20">
        <f t="shared" si="23"/>
        <v>0</v>
      </c>
      <c r="BJ635" s="20">
        <f t="shared" si="24"/>
        <v>0</v>
      </c>
      <c r="BK635" s="20" t="s">
        <v>1164</v>
      </c>
      <c r="BL635" s="11" t="s">
        <v>109</v>
      </c>
    </row>
    <row r="636" spans="1:64" x14ac:dyDescent="0.2">
      <c r="A636" s="79" t="s">
        <v>347</v>
      </c>
      <c r="B636" s="79" t="s">
        <v>490</v>
      </c>
      <c r="C636" s="194" t="s">
        <v>893</v>
      </c>
      <c r="D636" s="195"/>
      <c r="E636" s="195"/>
      <c r="F636" s="79" t="s">
        <v>1047</v>
      </c>
      <c r="G636" s="80">
        <v>1</v>
      </c>
      <c r="H636" s="80">
        <v>0</v>
      </c>
      <c r="I636" s="80">
        <f t="shared" si="0"/>
        <v>0</v>
      </c>
      <c r="J636" s="80">
        <f t="shared" si="1"/>
        <v>0</v>
      </c>
      <c r="K636" s="80">
        <f t="shared" si="2"/>
        <v>0</v>
      </c>
      <c r="L636" s="80">
        <f>G636*636</f>
        <v>636</v>
      </c>
      <c r="M636" s="94" t="s">
        <v>1066</v>
      </c>
      <c r="N636" s="32"/>
      <c r="Z636" s="11">
        <f t="shared" si="3"/>
        <v>0</v>
      </c>
      <c r="AB636" s="11">
        <f t="shared" si="4"/>
        <v>0</v>
      </c>
      <c r="AC636" s="11">
        <f t="shared" si="5"/>
        <v>0</v>
      </c>
      <c r="AD636" s="11">
        <f t="shared" si="6"/>
        <v>0</v>
      </c>
      <c r="AE636" s="11">
        <f t="shared" si="7"/>
        <v>0</v>
      </c>
      <c r="AF636" s="11">
        <f t="shared" si="8"/>
        <v>0</v>
      </c>
      <c r="AG636" s="11">
        <f t="shared" si="9"/>
        <v>0</v>
      </c>
      <c r="AH636" s="11">
        <f t="shared" si="10"/>
        <v>0</v>
      </c>
      <c r="AI636" s="26" t="s">
        <v>81</v>
      </c>
      <c r="AJ636" s="20">
        <f t="shared" si="11"/>
        <v>0</v>
      </c>
      <c r="AK636" s="20">
        <f t="shared" si="12"/>
        <v>0</v>
      </c>
      <c r="AL636" s="20">
        <f t="shared" si="13"/>
        <v>0</v>
      </c>
      <c r="AN636" s="11">
        <v>21</v>
      </c>
      <c r="AO636" s="11">
        <f t="shared" si="14"/>
        <v>0</v>
      </c>
      <c r="AP636" s="11">
        <f t="shared" si="15"/>
        <v>0</v>
      </c>
      <c r="AQ636" s="27" t="s">
        <v>139</v>
      </c>
      <c r="AV636" s="11">
        <f t="shared" si="16"/>
        <v>0</v>
      </c>
      <c r="AW636" s="11">
        <f t="shared" si="17"/>
        <v>0</v>
      </c>
      <c r="AX636" s="11">
        <f t="shared" si="18"/>
        <v>0</v>
      </c>
      <c r="AY636" s="29" t="s">
        <v>1102</v>
      </c>
      <c r="AZ636" s="29" t="s">
        <v>1127</v>
      </c>
      <c r="BA636" s="26" t="s">
        <v>1133</v>
      </c>
      <c r="BB636" s="26" t="s">
        <v>1159</v>
      </c>
      <c r="BC636" s="11">
        <f t="shared" si="19"/>
        <v>0</v>
      </c>
      <c r="BD636" s="11">
        <f t="shared" si="20"/>
        <v>0</v>
      </c>
      <c r="BE636" s="11">
        <v>0</v>
      </c>
      <c r="BF636" s="11">
        <f t="shared" si="21"/>
        <v>636</v>
      </c>
      <c r="BH636" s="20">
        <f t="shared" si="22"/>
        <v>0</v>
      </c>
      <c r="BI636" s="20">
        <f t="shared" si="23"/>
        <v>0</v>
      </c>
      <c r="BJ636" s="20">
        <f t="shared" si="24"/>
        <v>0</v>
      </c>
      <c r="BK636" s="20" t="s">
        <v>1164</v>
      </c>
      <c r="BL636" s="11" t="s">
        <v>109</v>
      </c>
    </row>
    <row r="637" spans="1:64" x14ac:dyDescent="0.2">
      <c r="A637" s="35"/>
      <c r="B637" s="86" t="s">
        <v>354</v>
      </c>
      <c r="C637" s="196" t="s">
        <v>894</v>
      </c>
      <c r="D637" s="197"/>
      <c r="E637" s="197"/>
      <c r="F637" s="197"/>
      <c r="G637" s="197"/>
      <c r="H637" s="197"/>
      <c r="I637" s="197"/>
      <c r="J637" s="197"/>
      <c r="K637" s="197"/>
      <c r="L637" s="197"/>
      <c r="M637" s="197"/>
      <c r="N637" s="32"/>
    </row>
    <row r="638" spans="1:64" x14ac:dyDescent="0.2">
      <c r="A638" s="84" t="s">
        <v>348</v>
      </c>
      <c r="B638" s="84" t="s">
        <v>491</v>
      </c>
      <c r="C638" s="198" t="s">
        <v>895</v>
      </c>
      <c r="D638" s="199"/>
      <c r="E638" s="199"/>
      <c r="F638" s="84" t="s">
        <v>1056</v>
      </c>
      <c r="G638" s="85">
        <v>1</v>
      </c>
      <c r="H638" s="85">
        <v>0</v>
      </c>
      <c r="I638" s="85">
        <f>G638*AO638</f>
        <v>0</v>
      </c>
      <c r="J638" s="85">
        <f>G638*AP638</f>
        <v>0</v>
      </c>
      <c r="K638" s="85">
        <f>G638*H638</f>
        <v>0</v>
      </c>
      <c r="L638" s="85">
        <f>G638*638</f>
        <v>638</v>
      </c>
      <c r="M638" s="95" t="s">
        <v>1067</v>
      </c>
      <c r="N638" s="32"/>
      <c r="Z638" s="11">
        <f>IF(AQ638="5",BJ638,0)</f>
        <v>0</v>
      </c>
      <c r="AB638" s="11">
        <f>IF(AQ638="1",BH638,0)</f>
        <v>0</v>
      </c>
      <c r="AC638" s="11">
        <f>IF(AQ638="1",BI638,0)</f>
        <v>0</v>
      </c>
      <c r="AD638" s="11">
        <f>IF(AQ638="7",BH638,0)</f>
        <v>0</v>
      </c>
      <c r="AE638" s="11">
        <f>IF(AQ638="7",BI638,0)</f>
        <v>0</v>
      </c>
      <c r="AF638" s="11">
        <f>IF(AQ638="2",BH638,0)</f>
        <v>0</v>
      </c>
      <c r="AG638" s="11">
        <f>IF(AQ638="2",BI638,0)</f>
        <v>0</v>
      </c>
      <c r="AH638" s="11">
        <f>IF(AQ638="0",BJ638,0)</f>
        <v>0</v>
      </c>
      <c r="AI638" s="26" t="s">
        <v>81</v>
      </c>
      <c r="AJ638" s="21">
        <f>IF(AN638=0,K638,0)</f>
        <v>0</v>
      </c>
      <c r="AK638" s="21">
        <f>IF(AN638=15,K638,0)</f>
        <v>0</v>
      </c>
      <c r="AL638" s="21">
        <f>IF(AN638=21,K638,0)</f>
        <v>0</v>
      </c>
      <c r="AN638" s="11">
        <v>21</v>
      </c>
      <c r="AO638" s="11">
        <f>H638*1</f>
        <v>0</v>
      </c>
      <c r="AP638" s="11">
        <f>H638*(1-1)</f>
        <v>0</v>
      </c>
      <c r="AQ638" s="28" t="s">
        <v>138</v>
      </c>
      <c r="AV638" s="11">
        <f>AW638+AX638</f>
        <v>0</v>
      </c>
      <c r="AW638" s="11">
        <f>G638*AO638</f>
        <v>0</v>
      </c>
      <c r="AX638" s="11">
        <f>G638*AP638</f>
        <v>0</v>
      </c>
      <c r="AY638" s="29" t="s">
        <v>1102</v>
      </c>
      <c r="AZ638" s="29" t="s">
        <v>1127</v>
      </c>
      <c r="BA638" s="26" t="s">
        <v>1133</v>
      </c>
      <c r="BC638" s="11">
        <f>AW638+AX638</f>
        <v>0</v>
      </c>
      <c r="BD638" s="11">
        <f>H638/(100-BE638)*100</f>
        <v>0</v>
      </c>
      <c r="BE638" s="11">
        <v>0</v>
      </c>
      <c r="BF638" s="11">
        <f>L638</f>
        <v>638</v>
      </c>
      <c r="BH638" s="21">
        <f>G638*AO638</f>
        <v>0</v>
      </c>
      <c r="BI638" s="21">
        <f>G638*AP638</f>
        <v>0</v>
      </c>
      <c r="BJ638" s="21">
        <f>G638*H638</f>
        <v>0</v>
      </c>
      <c r="BK638" s="21" t="s">
        <v>1165</v>
      </c>
      <c r="BL638" s="11" t="s">
        <v>109</v>
      </c>
    </row>
    <row r="639" spans="1:64" x14ac:dyDescent="0.2">
      <c r="A639" s="79" t="s">
        <v>349</v>
      </c>
      <c r="B639" s="79" t="s">
        <v>492</v>
      </c>
      <c r="C639" s="194" t="s">
        <v>896</v>
      </c>
      <c r="D639" s="195"/>
      <c r="E639" s="195"/>
      <c r="F639" s="79" t="s">
        <v>1047</v>
      </c>
      <c r="G639" s="80">
        <v>1</v>
      </c>
      <c r="H639" s="80">
        <v>0</v>
      </c>
      <c r="I639" s="80">
        <f>G639*AO639</f>
        <v>0</v>
      </c>
      <c r="J639" s="80">
        <f>G639*AP639</f>
        <v>0</v>
      </c>
      <c r="K639" s="80">
        <f>G639*H639</f>
        <v>0</v>
      </c>
      <c r="L639" s="80">
        <f>G639*639</f>
        <v>639</v>
      </c>
      <c r="M639" s="94" t="s">
        <v>1066</v>
      </c>
      <c r="N639" s="32"/>
      <c r="Z639" s="11">
        <f>IF(AQ639="5",BJ639,0)</f>
        <v>0</v>
      </c>
      <c r="AB639" s="11">
        <f>IF(AQ639="1",BH639,0)</f>
        <v>0</v>
      </c>
      <c r="AC639" s="11">
        <f>IF(AQ639="1",BI639,0)</f>
        <v>0</v>
      </c>
      <c r="AD639" s="11">
        <f>IF(AQ639="7",BH639,0)</f>
        <v>0</v>
      </c>
      <c r="AE639" s="11">
        <f>IF(AQ639="7",BI639,0)</f>
        <v>0</v>
      </c>
      <c r="AF639" s="11">
        <f>IF(AQ639="2",BH639,0)</f>
        <v>0</v>
      </c>
      <c r="AG639" s="11">
        <f>IF(AQ639="2",BI639,0)</f>
        <v>0</v>
      </c>
      <c r="AH639" s="11">
        <f>IF(AQ639="0",BJ639,0)</f>
        <v>0</v>
      </c>
      <c r="AI639" s="26" t="s">
        <v>81</v>
      </c>
      <c r="AJ639" s="20">
        <f>IF(AN639=0,K639,0)</f>
        <v>0</v>
      </c>
      <c r="AK639" s="20">
        <f>IF(AN639=15,K639,0)</f>
        <v>0</v>
      </c>
      <c r="AL639" s="20">
        <f>IF(AN639=21,K639,0)</f>
        <v>0</v>
      </c>
      <c r="AN639" s="11">
        <v>21</v>
      </c>
      <c r="AO639" s="11">
        <f>H639*0</f>
        <v>0</v>
      </c>
      <c r="AP639" s="11">
        <f>H639*(1-0)</f>
        <v>0</v>
      </c>
      <c r="AQ639" s="27" t="s">
        <v>139</v>
      </c>
      <c r="AV639" s="11">
        <f>AW639+AX639</f>
        <v>0</v>
      </c>
      <c r="AW639" s="11">
        <f>G639*AO639</f>
        <v>0</v>
      </c>
      <c r="AX639" s="11">
        <f>G639*AP639</f>
        <v>0</v>
      </c>
      <c r="AY639" s="29" t="s">
        <v>1102</v>
      </c>
      <c r="AZ639" s="29" t="s">
        <v>1127</v>
      </c>
      <c r="BA639" s="26" t="s">
        <v>1133</v>
      </c>
      <c r="BB639" s="26" t="s">
        <v>1159</v>
      </c>
      <c r="BC639" s="11">
        <f>AW639+AX639</f>
        <v>0</v>
      </c>
      <c r="BD639" s="11">
        <f>H639/(100-BE639)*100</f>
        <v>0</v>
      </c>
      <c r="BE639" s="11">
        <v>0</v>
      </c>
      <c r="BF639" s="11">
        <f>L639</f>
        <v>639</v>
      </c>
      <c r="BH639" s="20">
        <f>G639*AO639</f>
        <v>0</v>
      </c>
      <c r="BI639" s="20">
        <f>G639*AP639</f>
        <v>0</v>
      </c>
      <c r="BJ639" s="20">
        <f>G639*H639</f>
        <v>0</v>
      </c>
      <c r="BK639" s="20" t="s">
        <v>1164</v>
      </c>
      <c r="BL639" s="11" t="s">
        <v>109</v>
      </c>
    </row>
    <row r="640" spans="1:64" x14ac:dyDescent="0.2">
      <c r="A640" s="79" t="s">
        <v>350</v>
      </c>
      <c r="B640" s="79" t="s">
        <v>493</v>
      </c>
      <c r="C640" s="194" t="s">
        <v>897</v>
      </c>
      <c r="D640" s="195"/>
      <c r="E640" s="195"/>
      <c r="F640" s="79" t="s">
        <v>1047</v>
      </c>
      <c r="G640" s="80">
        <v>1</v>
      </c>
      <c r="H640" s="80">
        <v>0</v>
      </c>
      <c r="I640" s="80">
        <f>G640*AO640</f>
        <v>0</v>
      </c>
      <c r="J640" s="80">
        <f>G640*AP640</f>
        <v>0</v>
      </c>
      <c r="K640" s="80">
        <f>G640*H640</f>
        <v>0</v>
      </c>
      <c r="L640" s="80">
        <f>G640*640</f>
        <v>640</v>
      </c>
      <c r="M640" s="94" t="s">
        <v>1066</v>
      </c>
      <c r="N640" s="32"/>
      <c r="Z640" s="11">
        <f>IF(AQ640="5",BJ640,0)</f>
        <v>0</v>
      </c>
      <c r="AB640" s="11">
        <f>IF(AQ640="1",BH640,0)</f>
        <v>0</v>
      </c>
      <c r="AC640" s="11">
        <f>IF(AQ640="1",BI640,0)</f>
        <v>0</v>
      </c>
      <c r="AD640" s="11">
        <f>IF(AQ640="7",BH640,0)</f>
        <v>0</v>
      </c>
      <c r="AE640" s="11">
        <f>IF(AQ640="7",BI640,0)</f>
        <v>0</v>
      </c>
      <c r="AF640" s="11">
        <f>IF(AQ640="2",BH640,0)</f>
        <v>0</v>
      </c>
      <c r="AG640" s="11">
        <f>IF(AQ640="2",BI640,0)</f>
        <v>0</v>
      </c>
      <c r="AH640" s="11">
        <f>IF(AQ640="0",BJ640,0)</f>
        <v>0</v>
      </c>
      <c r="AI640" s="26" t="s">
        <v>81</v>
      </c>
      <c r="AJ640" s="20">
        <f>IF(AN640=0,K640,0)</f>
        <v>0</v>
      </c>
      <c r="AK640" s="20">
        <f>IF(AN640=15,K640,0)</f>
        <v>0</v>
      </c>
      <c r="AL640" s="20">
        <f>IF(AN640=21,K640,0)</f>
        <v>0</v>
      </c>
      <c r="AN640" s="11">
        <v>21</v>
      </c>
      <c r="AO640" s="11">
        <f>H640*0</f>
        <v>0</v>
      </c>
      <c r="AP640" s="11">
        <f>H640*(1-0)</f>
        <v>0</v>
      </c>
      <c r="AQ640" s="27" t="s">
        <v>139</v>
      </c>
      <c r="AV640" s="11">
        <f>AW640+AX640</f>
        <v>0</v>
      </c>
      <c r="AW640" s="11">
        <f>G640*AO640</f>
        <v>0</v>
      </c>
      <c r="AX640" s="11">
        <f>G640*AP640</f>
        <v>0</v>
      </c>
      <c r="AY640" s="29" t="s">
        <v>1102</v>
      </c>
      <c r="AZ640" s="29" t="s">
        <v>1127</v>
      </c>
      <c r="BA640" s="26" t="s">
        <v>1133</v>
      </c>
      <c r="BB640" s="26" t="s">
        <v>1159</v>
      </c>
      <c r="BC640" s="11">
        <f>AW640+AX640</f>
        <v>0</v>
      </c>
      <c r="BD640" s="11">
        <f>H640/(100-BE640)*100</f>
        <v>0</v>
      </c>
      <c r="BE640" s="11">
        <v>0</v>
      </c>
      <c r="BF640" s="11">
        <f>L640</f>
        <v>640</v>
      </c>
      <c r="BH640" s="20">
        <f>G640*AO640</f>
        <v>0</v>
      </c>
      <c r="BI640" s="20">
        <f>G640*AP640</f>
        <v>0</v>
      </c>
      <c r="BJ640" s="20">
        <f>G640*H640</f>
        <v>0</v>
      </c>
      <c r="BK640" s="20" t="s">
        <v>1164</v>
      </c>
      <c r="BL640" s="11" t="s">
        <v>109</v>
      </c>
    </row>
    <row r="641" spans="1:64" x14ac:dyDescent="0.2">
      <c r="A641" s="90" t="s">
        <v>57</v>
      </c>
      <c r="B641" s="90" t="s">
        <v>494</v>
      </c>
      <c r="C641" s="200" t="s">
        <v>898</v>
      </c>
      <c r="D641" s="201"/>
      <c r="E641" s="201"/>
      <c r="F641" s="90" t="s">
        <v>1051</v>
      </c>
      <c r="G641" s="91">
        <v>15</v>
      </c>
      <c r="H641" s="91">
        <v>0</v>
      </c>
      <c r="I641" s="91">
        <f>G641*AO641</f>
        <v>0</v>
      </c>
      <c r="J641" s="91">
        <f>G641*AP641</f>
        <v>0</v>
      </c>
      <c r="K641" s="91">
        <f>G641*H641</f>
        <v>0</v>
      </c>
      <c r="L641" s="91">
        <f>G641*641</f>
        <v>9615</v>
      </c>
      <c r="M641" s="97" t="s">
        <v>1066</v>
      </c>
      <c r="N641" s="32"/>
      <c r="Z641" s="11">
        <f>IF(AQ641="5",BJ641,0)</f>
        <v>0</v>
      </c>
      <c r="AB641" s="11">
        <f>IF(AQ641="1",BH641,0)</f>
        <v>0</v>
      </c>
      <c r="AC641" s="11">
        <f>IF(AQ641="1",BI641,0)</f>
        <v>0</v>
      </c>
      <c r="AD641" s="11">
        <f>IF(AQ641="7",BH641,0)</f>
        <v>0</v>
      </c>
      <c r="AE641" s="11">
        <f>IF(AQ641="7",BI641,0)</f>
        <v>0</v>
      </c>
      <c r="AF641" s="11">
        <f>IF(AQ641="2",BH641,0)</f>
        <v>0</v>
      </c>
      <c r="AG641" s="11">
        <f>IF(AQ641="2",BI641,0)</f>
        <v>0</v>
      </c>
      <c r="AH641" s="11">
        <f>IF(AQ641="0",BJ641,0)</f>
        <v>0</v>
      </c>
      <c r="AI641" s="26" t="s">
        <v>81</v>
      </c>
      <c r="AJ641" s="20">
        <f>IF(AN641=0,K641,0)</f>
        <v>0</v>
      </c>
      <c r="AK641" s="20">
        <f>IF(AN641=15,K641,0)</f>
        <v>0</v>
      </c>
      <c r="AL641" s="20">
        <f>IF(AN641=21,K641,0)</f>
        <v>0</v>
      </c>
      <c r="AN641" s="11">
        <v>21</v>
      </c>
      <c r="AO641" s="11">
        <f>H641*0</f>
        <v>0</v>
      </c>
      <c r="AP641" s="11">
        <f>H641*(1-0)</f>
        <v>0</v>
      </c>
      <c r="AQ641" s="27" t="s">
        <v>139</v>
      </c>
      <c r="AV641" s="11">
        <f>AW641+AX641</f>
        <v>0</v>
      </c>
      <c r="AW641" s="11">
        <f>G641*AO641</f>
        <v>0</v>
      </c>
      <c r="AX641" s="11">
        <f>G641*AP641</f>
        <v>0</v>
      </c>
      <c r="AY641" s="29" t="s">
        <v>1102</v>
      </c>
      <c r="AZ641" s="29" t="s">
        <v>1127</v>
      </c>
      <c r="BA641" s="26" t="s">
        <v>1133</v>
      </c>
      <c r="BB641" s="26" t="s">
        <v>1159</v>
      </c>
      <c r="BC641" s="11">
        <f>AW641+AX641</f>
        <v>0</v>
      </c>
      <c r="BD641" s="11">
        <f>H641/(100-BE641)*100</f>
        <v>0</v>
      </c>
      <c r="BE641" s="11">
        <v>0</v>
      </c>
      <c r="BF641" s="11">
        <f>L641</f>
        <v>9615</v>
      </c>
      <c r="BH641" s="20">
        <f>G641*AO641</f>
        <v>0</v>
      </c>
      <c r="BI641" s="20">
        <f>G641*AP641</f>
        <v>0</v>
      </c>
      <c r="BJ641" s="20">
        <f>G641*H641</f>
        <v>0</v>
      </c>
      <c r="BK641" s="20" t="s">
        <v>1164</v>
      </c>
      <c r="BL641" s="11" t="s">
        <v>109</v>
      </c>
    </row>
    <row r="642" spans="1:64" x14ac:dyDescent="0.2">
      <c r="A642" s="1"/>
      <c r="B642" s="1"/>
      <c r="C642" s="1"/>
      <c r="D642" s="1"/>
      <c r="E642" s="1"/>
      <c r="F642" s="1"/>
      <c r="G642" s="1"/>
      <c r="H642" s="1"/>
      <c r="I642" s="154" t="s">
        <v>72</v>
      </c>
      <c r="J642" s="155"/>
      <c r="K642" s="55">
        <f>K13+K28+K55+K90+K93+K100+K103+K122+K155+K183+K187+K204+K208+K235+K252+K272+K275+K286+K314+K317+K339+K364+K396+K401+K414+K418+K435+K447+K450+K470+K473+K481+K485+K523+K528+K532+K536+K539+K556+K565+K573+K598+K604+K607+K623+K628</f>
        <v>0</v>
      </c>
      <c r="L642" s="1"/>
      <c r="M642" s="1"/>
    </row>
    <row r="643" spans="1:64" ht="11.25" customHeight="1" x14ac:dyDescent="0.2">
      <c r="A643" s="4" t="s">
        <v>17</v>
      </c>
    </row>
    <row r="644" spans="1:64" ht="38.450000000000003" customHeight="1" x14ac:dyDescent="0.2">
      <c r="A644" s="193" t="s">
        <v>18</v>
      </c>
      <c r="B644" s="151"/>
      <c r="C644" s="151"/>
      <c r="D644" s="151"/>
      <c r="E644" s="151"/>
      <c r="F644" s="151"/>
      <c r="G644" s="151"/>
      <c r="H644" s="151"/>
      <c r="I644" s="151"/>
      <c r="J644" s="151"/>
      <c r="K644" s="151"/>
      <c r="L644" s="151"/>
      <c r="M644" s="151"/>
    </row>
  </sheetData>
  <mergeCells count="363">
    <mergeCell ref="A1:M1"/>
    <mergeCell ref="A2:B3"/>
    <mergeCell ref="C2:C3"/>
    <mergeCell ref="D2:D3"/>
    <mergeCell ref="E2:E3"/>
    <mergeCell ref="F2:G3"/>
    <mergeCell ref="H2:M3"/>
    <mergeCell ref="A4:B5"/>
    <mergeCell ref="C4:C5"/>
    <mergeCell ref="D4:D5"/>
    <mergeCell ref="E4:E5"/>
    <mergeCell ref="F4:G5"/>
    <mergeCell ref="H4:M5"/>
    <mergeCell ref="A6:B7"/>
    <mergeCell ref="C6:C7"/>
    <mergeCell ref="D6:D7"/>
    <mergeCell ref="E6:E7"/>
    <mergeCell ref="F6:G7"/>
    <mergeCell ref="H6:M7"/>
    <mergeCell ref="A8:B9"/>
    <mergeCell ref="C8:C9"/>
    <mergeCell ref="D8:D9"/>
    <mergeCell ref="E8:E9"/>
    <mergeCell ref="F8:G9"/>
    <mergeCell ref="H8:M9"/>
    <mergeCell ref="C10:E10"/>
    <mergeCell ref="I10:K10"/>
    <mergeCell ref="C11:E11"/>
    <mergeCell ref="C12:E12"/>
    <mergeCell ref="C13:E13"/>
    <mergeCell ref="C14:E14"/>
    <mergeCell ref="C16:E16"/>
    <mergeCell ref="C19:E19"/>
    <mergeCell ref="C20:M20"/>
    <mergeCell ref="C23:E23"/>
    <mergeCell ref="C25:E25"/>
    <mergeCell ref="C26:M26"/>
    <mergeCell ref="C28:E28"/>
    <mergeCell ref="C29:E29"/>
    <mergeCell ref="C30:M30"/>
    <mergeCell ref="C35:E35"/>
    <mergeCell ref="C36:M36"/>
    <mergeCell ref="C40:E40"/>
    <mergeCell ref="C41:M41"/>
    <mergeCell ref="C43:E43"/>
    <mergeCell ref="C44:M44"/>
    <mergeCell ref="C46:E46"/>
    <mergeCell ref="C47:M47"/>
    <mergeCell ref="C49:E49"/>
    <mergeCell ref="C52:E52"/>
    <mergeCell ref="C55:E55"/>
    <mergeCell ref="C56:E56"/>
    <mergeCell ref="C57:M57"/>
    <mergeCell ref="C59:E59"/>
    <mergeCell ref="C60:M60"/>
    <mergeCell ref="C63:E63"/>
    <mergeCell ref="C64:M64"/>
    <mergeCell ref="C69:E69"/>
    <mergeCell ref="C71:E71"/>
    <mergeCell ref="C72:M72"/>
    <mergeCell ref="C78:E78"/>
    <mergeCell ref="C79:M79"/>
    <mergeCell ref="C82:E82"/>
    <mergeCell ref="C83:M83"/>
    <mergeCell ref="C85:E85"/>
    <mergeCell ref="C86:M86"/>
    <mergeCell ref="C88:E88"/>
    <mergeCell ref="C90:E90"/>
    <mergeCell ref="C91:E91"/>
    <mergeCell ref="C93:E93"/>
    <mergeCell ref="C94:E94"/>
    <mergeCell ref="C95:M95"/>
    <mergeCell ref="C97:E97"/>
    <mergeCell ref="C98:M98"/>
    <mergeCell ref="C100:E100"/>
    <mergeCell ref="C101:E101"/>
    <mergeCell ref="C102:E102"/>
    <mergeCell ref="C103:E103"/>
    <mergeCell ref="C104:E104"/>
    <mergeCell ref="C105:M105"/>
    <mergeCell ref="C111:E111"/>
    <mergeCell ref="C113:E113"/>
    <mergeCell ref="C114:E114"/>
    <mergeCell ref="C116:E116"/>
    <mergeCell ref="C118:E118"/>
    <mergeCell ref="C119:E119"/>
    <mergeCell ref="C120:M120"/>
    <mergeCell ref="C122:E122"/>
    <mergeCell ref="C123:E123"/>
    <mergeCell ref="C125:E125"/>
    <mergeCell ref="C127:E127"/>
    <mergeCell ref="C129:E129"/>
    <mergeCell ref="C131:E131"/>
    <mergeCell ref="C134:E134"/>
    <mergeCell ref="C137:E137"/>
    <mergeCell ref="C140:E140"/>
    <mergeCell ref="C141:E141"/>
    <mergeCell ref="C143:E143"/>
    <mergeCell ref="C146:E146"/>
    <mergeCell ref="C148:E148"/>
    <mergeCell ref="C150:E150"/>
    <mergeCell ref="C152:E152"/>
    <mergeCell ref="C155:E155"/>
    <mergeCell ref="C156:E156"/>
    <mergeCell ref="C158:E158"/>
    <mergeCell ref="C160:E160"/>
    <mergeCell ref="C162:E162"/>
    <mergeCell ref="C164:E164"/>
    <mergeCell ref="C165:M165"/>
    <mergeCell ref="C167:E167"/>
    <mergeCell ref="C170:E170"/>
    <mergeCell ref="C171:M171"/>
    <mergeCell ref="C174:E174"/>
    <mergeCell ref="C177:E177"/>
    <mergeCell ref="C180:E180"/>
    <mergeCell ref="C183:E183"/>
    <mergeCell ref="C184:E184"/>
    <mergeCell ref="C186:E186"/>
    <mergeCell ref="C187:E187"/>
    <mergeCell ref="C188:E188"/>
    <mergeCell ref="C191:E191"/>
    <mergeCell ref="C192:M192"/>
    <mergeCell ref="C204:E204"/>
    <mergeCell ref="C205:E205"/>
    <mergeCell ref="C206:M206"/>
    <mergeCell ref="C208:E208"/>
    <mergeCell ref="C209:E209"/>
    <mergeCell ref="C210:M210"/>
    <mergeCell ref="C212:E212"/>
    <mergeCell ref="C213:M213"/>
    <mergeCell ref="C215:E215"/>
    <mergeCell ref="C218:E218"/>
    <mergeCell ref="C219:M219"/>
    <mergeCell ref="C221:E221"/>
    <mergeCell ref="C225:E225"/>
    <mergeCell ref="C229:E229"/>
    <mergeCell ref="C232:E232"/>
    <mergeCell ref="C235:E235"/>
    <mergeCell ref="C236:E236"/>
    <mergeCell ref="C242:E242"/>
    <mergeCell ref="C244:E244"/>
    <mergeCell ref="C246:E246"/>
    <mergeCell ref="C248:E248"/>
    <mergeCell ref="C250:E250"/>
    <mergeCell ref="C252:E252"/>
    <mergeCell ref="C253:E253"/>
    <mergeCell ref="C258:E258"/>
    <mergeCell ref="C260:E260"/>
    <mergeCell ref="C262:E262"/>
    <mergeCell ref="C264:E264"/>
    <mergeCell ref="C266:E266"/>
    <mergeCell ref="C268:E268"/>
    <mergeCell ref="C270:E270"/>
    <mergeCell ref="C272:E272"/>
    <mergeCell ref="C273:E273"/>
    <mergeCell ref="C274:E274"/>
    <mergeCell ref="C275:E275"/>
    <mergeCell ref="C276:E276"/>
    <mergeCell ref="C278:E278"/>
    <mergeCell ref="C279:M279"/>
    <mergeCell ref="C281:E281"/>
    <mergeCell ref="C283:E283"/>
    <mergeCell ref="C286:E286"/>
    <mergeCell ref="C287:E287"/>
    <mergeCell ref="C288:M288"/>
    <mergeCell ref="C290:E290"/>
    <mergeCell ref="C291:M291"/>
    <mergeCell ref="C294:E294"/>
    <mergeCell ref="C295:M295"/>
    <mergeCell ref="C298:E298"/>
    <mergeCell ref="C300:E300"/>
    <mergeCell ref="C301:M301"/>
    <mergeCell ref="C305:E305"/>
    <mergeCell ref="C306:M306"/>
    <mergeCell ref="C308:E308"/>
    <mergeCell ref="C309:M309"/>
    <mergeCell ref="C311:E311"/>
    <mergeCell ref="C312:M312"/>
    <mergeCell ref="C314:E314"/>
    <mergeCell ref="C315:E315"/>
    <mergeCell ref="C317:E317"/>
    <mergeCell ref="C318:E318"/>
    <mergeCell ref="C319:M319"/>
    <mergeCell ref="C327:E327"/>
    <mergeCell ref="C329:E329"/>
    <mergeCell ref="C330:E330"/>
    <mergeCell ref="C332:E332"/>
    <mergeCell ref="C333:M333"/>
    <mergeCell ref="C335:E335"/>
    <mergeCell ref="C337:E337"/>
    <mergeCell ref="C338:E338"/>
    <mergeCell ref="C339:E339"/>
    <mergeCell ref="C340:E340"/>
    <mergeCell ref="C342:E342"/>
    <mergeCell ref="C344:E344"/>
    <mergeCell ref="C346:E346"/>
    <mergeCell ref="C348:E348"/>
    <mergeCell ref="C350:E350"/>
    <mergeCell ref="C352:E352"/>
    <mergeCell ref="C354:E354"/>
    <mergeCell ref="C356:E356"/>
    <mergeCell ref="C359:E359"/>
    <mergeCell ref="C362:E362"/>
    <mergeCell ref="C364:E364"/>
    <mergeCell ref="C365:E365"/>
    <mergeCell ref="C367:E367"/>
    <mergeCell ref="C369:E369"/>
    <mergeCell ref="C371:E371"/>
    <mergeCell ref="C373:E373"/>
    <mergeCell ref="C374:M374"/>
    <mergeCell ref="C376:E376"/>
    <mergeCell ref="C378:E378"/>
    <mergeCell ref="C379:M379"/>
    <mergeCell ref="C381:E381"/>
    <mergeCell ref="C385:E385"/>
    <mergeCell ref="C388:E388"/>
    <mergeCell ref="C390:E390"/>
    <mergeCell ref="C392:E392"/>
    <mergeCell ref="C394:E394"/>
    <mergeCell ref="C396:E396"/>
    <mergeCell ref="C397:E397"/>
    <mergeCell ref="C399:E399"/>
    <mergeCell ref="C401:E401"/>
    <mergeCell ref="C402:E402"/>
    <mergeCell ref="C405:E405"/>
    <mergeCell ref="C406:M406"/>
    <mergeCell ref="C414:E414"/>
    <mergeCell ref="C415:E415"/>
    <mergeCell ref="C416:M416"/>
    <mergeCell ref="C418:E418"/>
    <mergeCell ref="C419:E419"/>
    <mergeCell ref="C420:M420"/>
    <mergeCell ref="C422:E422"/>
    <mergeCell ref="C423:M423"/>
    <mergeCell ref="C425:E425"/>
    <mergeCell ref="C426:M426"/>
    <mergeCell ref="C428:E428"/>
    <mergeCell ref="C430:E430"/>
    <mergeCell ref="C432:E432"/>
    <mergeCell ref="C435:E435"/>
    <mergeCell ref="C436:E436"/>
    <mergeCell ref="C439:E439"/>
    <mergeCell ref="C441:E441"/>
    <mergeCell ref="C443:E443"/>
    <mergeCell ref="C445:E445"/>
    <mergeCell ref="C447:E447"/>
    <mergeCell ref="C448:E448"/>
    <mergeCell ref="C450:E450"/>
    <mergeCell ref="C451:E451"/>
    <mergeCell ref="C456:E456"/>
    <mergeCell ref="C458:E458"/>
    <mergeCell ref="C460:E460"/>
    <mergeCell ref="C462:E462"/>
    <mergeCell ref="C464:E464"/>
    <mergeCell ref="C466:E466"/>
    <mergeCell ref="C468:E468"/>
    <mergeCell ref="C470:E470"/>
    <mergeCell ref="C471:E471"/>
    <mergeCell ref="C472:E472"/>
    <mergeCell ref="C473:E473"/>
    <mergeCell ref="C474:E474"/>
    <mergeCell ref="C475:M475"/>
    <mergeCell ref="C481:E481"/>
    <mergeCell ref="C482:E482"/>
    <mergeCell ref="C483:M483"/>
    <mergeCell ref="C485:E485"/>
    <mergeCell ref="C486:E486"/>
    <mergeCell ref="C488:E488"/>
    <mergeCell ref="C489:M489"/>
    <mergeCell ref="C491:E491"/>
    <mergeCell ref="C493:E493"/>
    <mergeCell ref="C495:E495"/>
    <mergeCell ref="C497:E497"/>
    <mergeCell ref="C499:E499"/>
    <mergeCell ref="C501:E501"/>
    <mergeCell ref="C504:E504"/>
    <mergeCell ref="C505:M505"/>
    <mergeCell ref="C507:E507"/>
    <mergeCell ref="C510:E510"/>
    <mergeCell ref="C511:M511"/>
    <mergeCell ref="C513:E513"/>
    <mergeCell ref="C516:E516"/>
    <mergeCell ref="C517:M517"/>
    <mergeCell ref="C519:E519"/>
    <mergeCell ref="C520:M520"/>
    <mergeCell ref="C523:E523"/>
    <mergeCell ref="C524:E524"/>
    <mergeCell ref="C525:M525"/>
    <mergeCell ref="C528:E528"/>
    <mergeCell ref="C529:E529"/>
    <mergeCell ref="C530:M530"/>
    <mergeCell ref="C532:E532"/>
    <mergeCell ref="C533:E533"/>
    <mergeCell ref="C534:M534"/>
    <mergeCell ref="C536:E536"/>
    <mergeCell ref="C537:E537"/>
    <mergeCell ref="C538:E538"/>
    <mergeCell ref="C539:E539"/>
    <mergeCell ref="C540:E540"/>
    <mergeCell ref="C543:E543"/>
    <mergeCell ref="C545:E545"/>
    <mergeCell ref="C547:E547"/>
    <mergeCell ref="C549:E549"/>
    <mergeCell ref="C552:E552"/>
    <mergeCell ref="C554:E554"/>
    <mergeCell ref="C556:E556"/>
    <mergeCell ref="C557:E557"/>
    <mergeCell ref="C559:E559"/>
    <mergeCell ref="C561:E561"/>
    <mergeCell ref="C563:E563"/>
    <mergeCell ref="C565:E565"/>
    <mergeCell ref="C566:E566"/>
    <mergeCell ref="C567:M567"/>
    <mergeCell ref="C569:E569"/>
    <mergeCell ref="C571:E571"/>
    <mergeCell ref="C572:E572"/>
    <mergeCell ref="C573:E573"/>
    <mergeCell ref="C574:E574"/>
    <mergeCell ref="C576:E576"/>
    <mergeCell ref="C578:E578"/>
    <mergeCell ref="C580:E580"/>
    <mergeCell ref="C583:E583"/>
    <mergeCell ref="C584:M584"/>
    <mergeCell ref="C586:E586"/>
    <mergeCell ref="C588:E588"/>
    <mergeCell ref="C590:E590"/>
    <mergeCell ref="C591:M591"/>
    <mergeCell ref="C593:E593"/>
    <mergeCell ref="C594:M594"/>
    <mergeCell ref="C596:E596"/>
    <mergeCell ref="C598:E598"/>
    <mergeCell ref="C599:E599"/>
    <mergeCell ref="C601:E601"/>
    <mergeCell ref="C603:E603"/>
    <mergeCell ref="C604:E604"/>
    <mergeCell ref="C605:E605"/>
    <mergeCell ref="C607:E607"/>
    <mergeCell ref="C608:E608"/>
    <mergeCell ref="C611:E611"/>
    <mergeCell ref="C613:E613"/>
    <mergeCell ref="C615:E615"/>
    <mergeCell ref="C618:E618"/>
    <mergeCell ref="C620:E620"/>
    <mergeCell ref="C622:E622"/>
    <mergeCell ref="C623:E623"/>
    <mergeCell ref="C624:E624"/>
    <mergeCell ref="C625:M625"/>
    <mergeCell ref="C627:E627"/>
    <mergeCell ref="C628:E628"/>
    <mergeCell ref="C629:E629"/>
    <mergeCell ref="C631:E631"/>
    <mergeCell ref="C632:E632"/>
    <mergeCell ref="C633:E633"/>
    <mergeCell ref="C634:E634"/>
    <mergeCell ref="C635:E635"/>
    <mergeCell ref="I642:J642"/>
    <mergeCell ref="A644:M644"/>
    <mergeCell ref="C636:E636"/>
    <mergeCell ref="C637:M637"/>
    <mergeCell ref="C638:E638"/>
    <mergeCell ref="C639:E639"/>
    <mergeCell ref="C640:E640"/>
    <mergeCell ref="C641:E641"/>
  </mergeCells>
  <pageMargins left="0.39370078740157483" right="0.19685039370078741" top="0.59055118110236227" bottom="0.59055118110236227" header="0.51181102362204722" footer="0.51181102362204722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 rozpočtu</vt:lpstr>
      <vt:lpstr>Rozpočet - objekty</vt:lpstr>
      <vt:lpstr>Rozpočet - podskupiny</vt:lpstr>
      <vt:lpstr>Stavební 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Sekretariat</cp:lastModifiedBy>
  <cp:lastPrinted>2021-12-12T09:52:31Z</cp:lastPrinted>
  <dcterms:created xsi:type="dcterms:W3CDTF">2021-12-12T09:56:20Z</dcterms:created>
  <dcterms:modified xsi:type="dcterms:W3CDTF">2022-02-18T10:55:31Z</dcterms:modified>
</cp:coreProperties>
</file>